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RÉKPÁR\2017\MTBO\PONTVERSENY\"/>
    </mc:Choice>
  </mc:AlternateContent>
  <bookViews>
    <workbookView xWindow="0" yWindow="0" windowWidth="9270" windowHeight="7050" tabRatio="801" activeTab="14"/>
  </bookViews>
  <sheets>
    <sheet name="Férfi Elit" sheetId="1" r:id="rId1"/>
    <sheet name="Női Elit" sheetId="2" r:id="rId2"/>
    <sheet name="N14" sheetId="3" r:id="rId3"/>
    <sheet name="F14" sheetId="4" r:id="rId4"/>
    <sheet name="N15-17" sheetId="5" r:id="rId5"/>
    <sheet name="F15-17" sheetId="6" r:id="rId6"/>
    <sheet name="N18-20" sheetId="7" r:id="rId7"/>
    <sheet name="F18-20" sheetId="8" r:id="rId8"/>
    <sheet name="N21B" sheetId="9" r:id="rId9"/>
    <sheet name="F21B" sheetId="10" r:id="rId10"/>
    <sheet name="N40" sheetId="11" r:id="rId11"/>
    <sheet name="F40" sheetId="12" r:id="rId12"/>
    <sheet name="N50" sheetId="13" r:id="rId13"/>
    <sheet name="F50" sheetId="14" r:id="rId14"/>
    <sheet name="F60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2" l="1"/>
  <c r="S4" i="10"/>
  <c r="E3" i="13"/>
  <c r="E4" i="13"/>
  <c r="E4" i="11"/>
  <c r="E3" i="11"/>
  <c r="S5" i="9"/>
  <c r="E6" i="9"/>
  <c r="E5" i="9"/>
  <c r="E4" i="9"/>
  <c r="E3" i="9"/>
  <c r="E9" i="15"/>
  <c r="E5" i="15"/>
  <c r="E4" i="15"/>
  <c r="E3" i="15"/>
  <c r="E8" i="15"/>
  <c r="S9" i="15"/>
  <c r="E6" i="15"/>
  <c r="E9" i="14"/>
  <c r="E3" i="14"/>
  <c r="E9" i="12"/>
  <c r="E12" i="12"/>
  <c r="E5" i="12"/>
  <c r="E6" i="12"/>
  <c r="E4" i="12"/>
  <c r="E8" i="12"/>
  <c r="E3" i="12"/>
  <c r="E10" i="10"/>
  <c r="E8" i="10"/>
  <c r="E5" i="10"/>
  <c r="E7" i="10"/>
  <c r="E6" i="10"/>
  <c r="E4" i="10"/>
  <c r="E3" i="10"/>
  <c r="E9" i="6"/>
  <c r="E8" i="6"/>
  <c r="E4" i="6"/>
  <c r="E6" i="6"/>
  <c r="E3" i="6"/>
  <c r="E4" i="4"/>
  <c r="E5" i="4"/>
  <c r="E3" i="4"/>
  <c r="D5" i="13"/>
  <c r="D3" i="13"/>
  <c r="D4" i="11"/>
  <c r="D6" i="11"/>
  <c r="D5" i="11"/>
  <c r="D3" i="11"/>
  <c r="D4" i="9"/>
  <c r="D3" i="9"/>
  <c r="D3" i="7"/>
  <c r="D5" i="15"/>
  <c r="D4" i="15"/>
  <c r="D3" i="15"/>
  <c r="D7" i="15"/>
  <c r="D8" i="14"/>
  <c r="D7" i="14"/>
  <c r="D6" i="14"/>
  <c r="D3" i="14"/>
  <c r="D5" i="14"/>
  <c r="D4" i="14"/>
  <c r="D15" i="1"/>
  <c r="D14" i="1"/>
  <c r="D13" i="1"/>
  <c r="D12" i="1"/>
  <c r="D11" i="1"/>
  <c r="D10" i="1"/>
  <c r="D7" i="1"/>
  <c r="D11" i="12"/>
  <c r="D10" i="12"/>
  <c r="D6" i="12"/>
  <c r="D4" i="12"/>
  <c r="D5" i="12"/>
  <c r="D7" i="12"/>
  <c r="D3" i="12"/>
  <c r="D7" i="10" l="1"/>
  <c r="D8" i="10"/>
  <c r="D6" i="10"/>
  <c r="D5" i="10"/>
  <c r="D3" i="10"/>
  <c r="D4" i="10"/>
  <c r="D9" i="10"/>
  <c r="D3" i="8"/>
  <c r="D3" i="6"/>
  <c r="D4" i="6"/>
  <c r="D7" i="6"/>
  <c r="D5" i="6"/>
  <c r="D8" i="4"/>
  <c r="D7" i="4"/>
  <c r="D5" i="4"/>
  <c r="D4" i="4"/>
  <c r="D6" i="4"/>
  <c r="D3" i="4"/>
  <c r="E7" i="2"/>
  <c r="E5" i="2"/>
  <c r="E4" i="2"/>
  <c r="E6" i="2"/>
  <c r="E3" i="2"/>
  <c r="D4" i="2"/>
  <c r="D5" i="2"/>
  <c r="D3" i="2"/>
  <c r="E16" i="1"/>
  <c r="E8" i="1"/>
  <c r="E7" i="1"/>
  <c r="E6" i="1"/>
  <c r="E5" i="1"/>
  <c r="E3" i="1"/>
  <c r="E4" i="1"/>
  <c r="D4" i="1"/>
  <c r="D3" i="1"/>
  <c r="D5" i="1"/>
  <c r="D6" i="1"/>
  <c r="D8" i="1"/>
  <c r="D9" i="1"/>
  <c r="S6" i="15" l="1"/>
  <c r="S10" i="14"/>
  <c r="S9" i="14"/>
  <c r="S3" i="14"/>
  <c r="S13" i="12"/>
  <c r="S4" i="11"/>
  <c r="S3" i="8"/>
  <c r="S4" i="2"/>
  <c r="S8" i="2"/>
  <c r="S8" i="15" l="1"/>
  <c r="S17" i="12" l="1"/>
  <c r="S8" i="8"/>
  <c r="S8" i="4" l="1"/>
  <c r="S8" i="9"/>
  <c r="S10" i="6"/>
  <c r="S3" i="6"/>
  <c r="S8" i="6"/>
  <c r="S4" i="13"/>
  <c r="S4" i="9"/>
  <c r="S11" i="9"/>
  <c r="S10" i="9"/>
  <c r="S6" i="9"/>
  <c r="S16" i="12" l="1"/>
  <c r="S9" i="12"/>
  <c r="S14" i="4"/>
  <c r="S4" i="4"/>
  <c r="S10" i="12" l="1"/>
  <c r="S11" i="12" l="1"/>
  <c r="S5" i="4"/>
  <c r="S5" i="8" l="1"/>
  <c r="S13" i="4"/>
  <c r="S12" i="4"/>
  <c r="S6" i="4"/>
  <c r="S5" i="13" l="1"/>
  <c r="S6" i="10"/>
  <c r="S7" i="4"/>
  <c r="S9" i="4"/>
  <c r="S3" i="4"/>
  <c r="S10" i="1" l="1"/>
  <c r="S3" i="1" l="1"/>
  <c r="S5" i="10" l="1"/>
  <c r="S4" i="15"/>
  <c r="S10" i="4"/>
  <c r="S11" i="4"/>
  <c r="S12" i="1"/>
  <c r="S7" i="1"/>
  <c r="S3" i="5"/>
  <c r="S3" i="9"/>
  <c r="S12" i="10"/>
  <c r="S11" i="10"/>
  <c r="S8" i="1"/>
  <c r="S14" i="12"/>
  <c r="S5" i="12"/>
  <c r="S15" i="12"/>
  <c r="S3" i="10"/>
  <c r="S11" i="1"/>
  <c r="S4" i="1"/>
  <c r="S9" i="1"/>
  <c r="S11" i="11" l="1"/>
  <c r="S8" i="11" l="1"/>
  <c r="S6" i="11"/>
  <c r="S4" i="14"/>
  <c r="S9" i="10"/>
  <c r="S3" i="15"/>
  <c r="S13" i="14"/>
  <c r="S12" i="14"/>
  <c r="S22" i="12"/>
  <c r="S4" i="6"/>
  <c r="S7" i="6"/>
  <c r="S5" i="15" l="1"/>
  <c r="S10" i="15"/>
  <c r="S7" i="15"/>
  <c r="S6" i="14"/>
  <c r="S8" i="14"/>
  <c r="S5" i="14"/>
  <c r="S14" i="14"/>
  <c r="S7" i="14"/>
  <c r="S11" i="14"/>
  <c r="S6" i="13"/>
  <c r="S3" i="13"/>
  <c r="S12" i="12"/>
  <c r="S18" i="12"/>
  <c r="S8" i="12"/>
  <c r="S21" i="12"/>
  <c r="S20" i="12"/>
  <c r="S9" i="11"/>
  <c r="S14" i="10"/>
  <c r="S10" i="10"/>
  <c r="S13" i="10"/>
  <c r="S7" i="10"/>
  <c r="S8" i="10"/>
  <c r="S6" i="8"/>
  <c r="S7" i="8"/>
  <c r="S10" i="8"/>
  <c r="S9" i="8"/>
  <c r="S4" i="8"/>
  <c r="S9" i="6"/>
  <c r="S5" i="6"/>
  <c r="S4" i="5"/>
  <c r="S7" i="2"/>
  <c r="S10" i="2"/>
  <c r="S6" i="2"/>
  <c r="S9" i="2"/>
  <c r="S18" i="1"/>
  <c r="S5" i="1"/>
  <c r="S19" i="1"/>
  <c r="S15" i="1"/>
  <c r="S14" i="1"/>
  <c r="S13" i="1"/>
  <c r="S6" i="1"/>
  <c r="S17" i="1"/>
  <c r="S16" i="1"/>
  <c r="S7" i="11" l="1"/>
  <c r="S5" i="11"/>
  <c r="S3" i="11"/>
  <c r="S6" i="12"/>
  <c r="S3" i="12"/>
  <c r="S19" i="12"/>
  <c r="S4" i="12"/>
  <c r="S10" i="11"/>
  <c r="S7" i="9"/>
  <c r="S9" i="9"/>
  <c r="S3" i="7"/>
  <c r="S6" i="6"/>
  <c r="S3" i="3"/>
  <c r="S5" i="2"/>
  <c r="S3" i="2"/>
</calcChain>
</file>

<file path=xl/sharedStrings.xml><?xml version="1.0" encoding="utf-8"?>
<sst xmlns="http://schemas.openxmlformats.org/spreadsheetml/2006/main" count="422" uniqueCount="127">
  <si>
    <t>hely</t>
  </si>
  <si>
    <t>név</t>
  </si>
  <si>
    <t>klub</t>
  </si>
  <si>
    <t>Össz pont</t>
  </si>
  <si>
    <t>1.</t>
  </si>
  <si>
    <t>MSE</t>
  </si>
  <si>
    <t>2.</t>
  </si>
  <si>
    <t>SAS</t>
  </si>
  <si>
    <t>3.</t>
  </si>
  <si>
    <t>Bedő Csaba</t>
  </si>
  <si>
    <t>BSC/VKE-Nelson</t>
  </si>
  <si>
    <t>4.</t>
  </si>
  <si>
    <t>"</t>
  </si>
  <si>
    <t>5.</t>
  </si>
  <si>
    <t>KFK</t>
  </si>
  <si>
    <t>6.</t>
  </si>
  <si>
    <t>Tamás Tibor</t>
  </si>
  <si>
    <t>DTC/Freeriderz SC</t>
  </si>
  <si>
    <t>7.</t>
  </si>
  <si>
    <t>DTC</t>
  </si>
  <si>
    <t>8.</t>
  </si>
  <si>
    <t>THT</t>
  </si>
  <si>
    <t>9.</t>
  </si>
  <si>
    <t>Fekete Ágoston</t>
  </si>
  <si>
    <t>ZTC</t>
  </si>
  <si>
    <t>10.</t>
  </si>
  <si>
    <t>11.</t>
  </si>
  <si>
    <t>Viraszkó Zoltán</t>
  </si>
  <si>
    <t>12.</t>
  </si>
  <si>
    <t>13.</t>
  </si>
  <si>
    <t>14.</t>
  </si>
  <si>
    <t>15.</t>
  </si>
  <si>
    <t>16.</t>
  </si>
  <si>
    <t>17.</t>
  </si>
  <si>
    <t>Kieső pontok</t>
  </si>
  <si>
    <t>" részt vett a versenyen de vagy hibapontos, vagy már negatív pontszáma van</t>
  </si>
  <si>
    <t>OSC</t>
  </si>
  <si>
    <t>Pénzes Erzsébet</t>
  </si>
  <si>
    <t>SPA</t>
  </si>
  <si>
    <t>Benke Noémi</t>
  </si>
  <si>
    <t>Tamás Bianka</t>
  </si>
  <si>
    <t>Marosffy Orsolya</t>
  </si>
  <si>
    <t>Jordán Soma</t>
  </si>
  <si>
    <t>Horváth Adrienn</t>
  </si>
  <si>
    <t>MAF</t>
  </si>
  <si>
    <t>Vajda Péter</t>
  </si>
  <si>
    <t>Kinde Kálmán</t>
  </si>
  <si>
    <t>Lindenberger Béla</t>
  </si>
  <si>
    <t>EK</t>
  </si>
  <si>
    <t>Hidas Zoltán</t>
  </si>
  <si>
    <t>TTE</t>
  </si>
  <si>
    <t>Molnár Attila</t>
  </si>
  <si>
    <t>Jankó Tamás</t>
  </si>
  <si>
    <t>HSE</t>
  </si>
  <si>
    <t>Dosek Ágoston</t>
  </si>
  <si>
    <t>Hidas Sándor</t>
  </si>
  <si>
    <t>18.</t>
  </si>
  <si>
    <t>Kiss Bertalan András</t>
  </si>
  <si>
    <t>SZT</t>
  </si>
  <si>
    <t>Hidas-Mészáros Eszter</t>
  </si>
  <si>
    <t>Rózsa László</t>
  </si>
  <si>
    <t>SMA</t>
  </si>
  <si>
    <t>Boros Zoltán</t>
  </si>
  <si>
    <t>Tömördi Ágnes</t>
  </si>
  <si>
    <t>Török Lavinia</t>
  </si>
  <si>
    <t>Beöthy Ádám</t>
  </si>
  <si>
    <t>Molnár Botond</t>
  </si>
  <si>
    <t>Fekete Sámuel</t>
  </si>
  <si>
    <t>Csordás Kornél</t>
  </si>
  <si>
    <t>REHAB</t>
  </si>
  <si>
    <t>Marosffy Dániel</t>
  </si>
  <si>
    <t>Balázs Ottó</t>
  </si>
  <si>
    <t>Krasznai Orsolya</t>
  </si>
  <si>
    <t>Baumann Viola</t>
  </si>
  <si>
    <t>Szandi Bence</t>
  </si>
  <si>
    <t>Szandi Péter</t>
  </si>
  <si>
    <t>Szabó Csaba</t>
  </si>
  <si>
    <t>Kiss Zoltán</t>
  </si>
  <si>
    <t>Koczka Gabriella</t>
  </si>
  <si>
    <t>Mörk Péter</t>
  </si>
  <si>
    <t>MAT</t>
  </si>
  <si>
    <t>Holluby András</t>
  </si>
  <si>
    <t>PSE</t>
  </si>
  <si>
    <t>Dr. Cseh Veronika</t>
  </si>
  <si>
    <t>Kinde Merse Márk</t>
  </si>
  <si>
    <t>19.</t>
  </si>
  <si>
    <t>Ember Ágoston</t>
  </si>
  <si>
    <t>20.</t>
  </si>
  <si>
    <t>Balaton MTBO középtáv Csopak 04.01.</t>
  </si>
  <si>
    <t>Magyar Pontbegyűjtő Bajnokság Csopak 04.02</t>
  </si>
  <si>
    <t>Balaton MTBO középtáv                  Csopak 04.01.</t>
  </si>
  <si>
    <t>Magyar Kupa 2017</t>
  </si>
  <si>
    <t>Bálint Ádám</t>
  </si>
  <si>
    <t>VHS</t>
  </si>
  <si>
    <t>Ár János Dániel</t>
  </si>
  <si>
    <t>ASK</t>
  </si>
  <si>
    <t>Hargitai Barnapás Attila</t>
  </si>
  <si>
    <t>Tóth-Almási Borbála</t>
  </si>
  <si>
    <t>Horváth Balázs Máté</t>
  </si>
  <si>
    <t>Hudák Bence</t>
  </si>
  <si>
    <t>Parádi Gergely</t>
  </si>
  <si>
    <t>HAN</t>
  </si>
  <si>
    <t>Aktív Mindennapok</t>
  </si>
  <si>
    <t>Resch Bernhard</t>
  </si>
  <si>
    <t>Mecsek Maraton</t>
  </si>
  <si>
    <t>Lizán Péter</t>
  </si>
  <si>
    <t>Bálint Bence</t>
  </si>
  <si>
    <t xml:space="preserve">Máté Tamás </t>
  </si>
  <si>
    <t>Weiler Zsolt</t>
  </si>
  <si>
    <t>Máthé Tamás</t>
  </si>
  <si>
    <t>Paulovits László</t>
  </si>
  <si>
    <t>Dravetz Walter</t>
  </si>
  <si>
    <t>Allwinger Hervig</t>
  </si>
  <si>
    <t>Resch Kurt</t>
  </si>
  <si>
    <t>Plájer Lajos</t>
  </si>
  <si>
    <t>Deseő László</t>
  </si>
  <si>
    <t>MOM</t>
  </si>
  <si>
    <t>Balaton MTBO középtáv     Csopak 04.01.</t>
  </si>
  <si>
    <t>Ézsiás Katalin</t>
  </si>
  <si>
    <t>Lendvai Katalin</t>
  </si>
  <si>
    <t>Tönköly Erika</t>
  </si>
  <si>
    <t>Izer Mátyás</t>
  </si>
  <si>
    <t>Alpár Domonkos Márton</t>
  </si>
  <si>
    <t>Vekerdy Zoltán</t>
  </si>
  <si>
    <t>BEA</t>
  </si>
  <si>
    <t>Vargyai József</t>
  </si>
  <si>
    <t>Erős Gabriella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</si>
</sst>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4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9" xfId="0" applyFont="1" applyFill="1" applyBorder="1" applyAlignment="1">
      <alignment horizontal="center" vertical="center" textRotation="180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180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2" fontId="0" fillId="0" borderId="10" xfId="0" applyNumberFormat="1" applyFill="1" applyBorder="1"/>
    <xf numFmtId="2" fontId="0" fillId="0" borderId="16" xfId="0" applyNumberFormat="1" applyFill="1" applyBorder="1"/>
    <xf numFmtId="2" fontId="3" fillId="0" borderId="11" xfId="0" applyNumberFormat="1" applyFont="1" applyFill="1" applyBorder="1"/>
    <xf numFmtId="0" fontId="0" fillId="0" borderId="10" xfId="0" applyFill="1" applyBorder="1"/>
    <xf numFmtId="0" fontId="3" fillId="0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2" fontId="0" fillId="0" borderId="20" xfId="0" applyNumberFormat="1" applyFill="1" applyBorder="1"/>
    <xf numFmtId="2" fontId="3" fillId="0" borderId="17" xfId="0" applyNumberFormat="1" applyFont="1" applyFill="1" applyBorder="1"/>
    <xf numFmtId="2" fontId="5" fillId="0" borderId="16" xfId="0" applyNumberFormat="1" applyFont="1" applyFill="1" applyBorder="1"/>
    <xf numFmtId="2" fontId="0" fillId="0" borderId="22" xfId="0" applyNumberFormat="1" applyFill="1" applyBorder="1"/>
    <xf numFmtId="0" fontId="3" fillId="0" borderId="16" xfId="0" applyFont="1" applyFill="1" applyBorder="1" applyAlignment="1">
      <alignment horizontal="right"/>
    </xf>
    <xf numFmtId="2" fontId="0" fillId="0" borderId="18" xfId="0" applyNumberFormat="1" applyFill="1" applyBorder="1"/>
    <xf numFmtId="0" fontId="0" fillId="0" borderId="24" xfId="0" applyFill="1" applyBorder="1"/>
    <xf numFmtId="0" fontId="0" fillId="0" borderId="16" xfId="0" applyFill="1" applyBorder="1"/>
    <xf numFmtId="2" fontId="5" fillId="0" borderId="10" xfId="0" applyNumberFormat="1" applyFont="1" applyFill="1" applyBorder="1"/>
    <xf numFmtId="0" fontId="0" fillId="0" borderId="25" xfId="0" applyFill="1" applyBorder="1"/>
    <xf numFmtId="2" fontId="0" fillId="0" borderId="25" xfId="0" applyNumberFormat="1" applyFill="1" applyBorder="1"/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/>
    <xf numFmtId="0" fontId="3" fillId="0" borderId="26" xfId="0" applyFont="1" applyFill="1" applyBorder="1"/>
    <xf numFmtId="0" fontId="0" fillId="0" borderId="27" xfId="0" applyFill="1" applyBorder="1"/>
    <xf numFmtId="0" fontId="0" fillId="0" borderId="28" xfId="0" applyFill="1" applyBorder="1"/>
    <xf numFmtId="2" fontId="0" fillId="0" borderId="29" xfId="0" applyNumberFormat="1" applyFill="1" applyBorder="1"/>
    <xf numFmtId="2" fontId="0" fillId="0" borderId="30" xfId="0" applyNumberFormat="1" applyFill="1" applyBorder="1"/>
    <xf numFmtId="2" fontId="5" fillId="0" borderId="30" xfId="0" applyNumberFormat="1" applyFont="1" applyFill="1" applyBorder="1"/>
    <xf numFmtId="0" fontId="3" fillId="0" borderId="30" xfId="0" applyFont="1" applyFill="1" applyBorder="1" applyAlignment="1">
      <alignment horizontal="right"/>
    </xf>
    <xf numFmtId="2" fontId="0" fillId="0" borderId="31" xfId="0" applyNumberFormat="1" applyFill="1" applyBorder="1"/>
    <xf numFmtId="2" fontId="3" fillId="0" borderId="26" xfId="0" applyNumberFormat="1" applyFont="1" applyFill="1" applyBorder="1"/>
    <xf numFmtId="2" fontId="0" fillId="0" borderId="0" xfId="0" applyNumberFormat="1" applyFill="1" applyBorder="1"/>
    <xf numFmtId="2" fontId="5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/>
    <xf numFmtId="0" fontId="0" fillId="0" borderId="15" xfId="0" applyFill="1" applyBorder="1"/>
    <xf numFmtId="0" fontId="0" fillId="0" borderId="20" xfId="0" applyFill="1" applyBorder="1"/>
    <xf numFmtId="0" fontId="0" fillId="0" borderId="23" xfId="0" applyFill="1" applyBorder="1"/>
    <xf numFmtId="0" fontId="0" fillId="0" borderId="29" xfId="0" applyFill="1" applyBorder="1"/>
    <xf numFmtId="0" fontId="0" fillId="0" borderId="30" xfId="0" applyFill="1" applyBorder="1"/>
    <xf numFmtId="2" fontId="5" fillId="0" borderId="0" xfId="0" applyNumberFormat="1" applyFont="1" applyFill="1" applyBorder="1" applyAlignment="1">
      <alignment horizontal="right"/>
    </xf>
    <xf numFmtId="0" fontId="0" fillId="0" borderId="32" xfId="0" applyFill="1" applyBorder="1"/>
    <xf numFmtId="0" fontId="0" fillId="0" borderId="4" xfId="0" applyFill="1" applyBorder="1"/>
    <xf numFmtId="2" fontId="0" fillId="0" borderId="4" xfId="0" applyNumberFormat="1" applyFill="1" applyBorder="1"/>
    <xf numFmtId="0" fontId="1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/>
    </xf>
    <xf numFmtId="2" fontId="0" fillId="0" borderId="34" xfId="0" applyNumberFormat="1" applyFill="1" applyBorder="1"/>
    <xf numFmtId="2" fontId="3" fillId="0" borderId="33" xfId="0" applyNumberFormat="1" applyFont="1" applyFill="1" applyBorder="1"/>
    <xf numFmtId="0" fontId="0" fillId="0" borderId="10" xfId="0" applyFill="1" applyBorder="1" applyAlignment="1">
      <alignment horizontal="center"/>
    </xf>
    <xf numFmtId="0" fontId="5" fillId="0" borderId="20" xfId="0" applyFont="1" applyFill="1" applyBorder="1"/>
    <xf numFmtId="0" fontId="5" fillId="0" borderId="30" xfId="0" applyFont="1" applyFill="1" applyBorder="1"/>
    <xf numFmtId="0" fontId="0" fillId="0" borderId="36" xfId="0" applyFill="1" applyBorder="1"/>
    <xf numFmtId="0" fontId="0" fillId="0" borderId="0" xfId="0" applyFill="1" applyBorder="1" applyAlignment="1">
      <alignment horizontal="right"/>
    </xf>
    <xf numFmtId="2" fontId="0" fillId="0" borderId="37" xfId="0" applyNumberFormat="1" applyFill="1" applyBorder="1"/>
    <xf numFmtId="2" fontId="0" fillId="0" borderId="35" xfId="0" applyNumberFormat="1" applyFill="1" applyBorder="1"/>
    <xf numFmtId="0" fontId="0" fillId="0" borderId="22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38" xfId="0" applyFont="1" applyFill="1" applyBorder="1"/>
    <xf numFmtId="0" fontId="3" fillId="0" borderId="15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3" fillId="0" borderId="21" xfId="0" applyFont="1" applyFill="1" applyBorder="1"/>
    <xf numFmtId="0" fontId="3" fillId="0" borderId="39" xfId="0" applyFont="1" applyFill="1" applyBorder="1"/>
    <xf numFmtId="0" fontId="0" fillId="0" borderId="0" xfId="0" applyFont="1" applyFill="1" applyBorder="1"/>
    <xf numFmtId="2" fontId="0" fillId="0" borderId="12" xfId="0" applyNumberFormat="1" applyFill="1" applyBorder="1"/>
    <xf numFmtId="0" fontId="0" fillId="0" borderId="40" xfId="0" applyFill="1" applyBorder="1"/>
    <xf numFmtId="0" fontId="0" fillId="0" borderId="41" xfId="0" applyFill="1" applyBorder="1"/>
    <xf numFmtId="2" fontId="0" fillId="0" borderId="40" xfId="0" applyNumberFormat="1" applyFill="1" applyBorder="1"/>
    <xf numFmtId="2" fontId="0" fillId="0" borderId="42" xfId="0" applyNumberFormat="1" applyFill="1" applyBorder="1"/>
    <xf numFmtId="2" fontId="5" fillId="0" borderId="31" xfId="0" applyNumberFormat="1" applyFont="1" applyFill="1" applyBorder="1"/>
    <xf numFmtId="0" fontId="3" fillId="0" borderId="14" xfId="0" applyFont="1" applyFill="1" applyBorder="1" applyAlignment="1">
      <alignment horizontal="right"/>
    </xf>
    <xf numFmtId="2" fontId="0" fillId="0" borderId="20" xfId="0" applyNumberFormat="1" applyFill="1" applyBorder="1" applyAlignment="1">
      <alignment horizontal="center"/>
    </xf>
    <xf numFmtId="2" fontId="5" fillId="0" borderId="20" xfId="0" applyNumberFormat="1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2" fontId="0" fillId="0" borderId="23" xfId="0" applyNumberFormat="1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1" xfId="0" applyFill="1" applyBorder="1"/>
    <xf numFmtId="0" fontId="0" fillId="0" borderId="2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3" fillId="0" borderId="49" xfId="0" applyNumberFormat="1" applyFont="1" applyFill="1" applyBorder="1"/>
    <xf numFmtId="0" fontId="3" fillId="0" borderId="1" xfId="0" applyFont="1" applyFill="1" applyBorder="1"/>
    <xf numFmtId="0" fontId="0" fillId="0" borderId="6" xfId="0" applyFill="1" applyBorder="1"/>
    <xf numFmtId="0" fontId="0" fillId="0" borderId="7" xfId="0" applyFill="1" applyBorder="1"/>
    <xf numFmtId="2" fontId="0" fillId="0" borderId="9" xfId="0" applyNumberFormat="1" applyFill="1" applyBorder="1"/>
    <xf numFmtId="0" fontId="0" fillId="0" borderId="9" xfId="0" applyFill="1" applyBorder="1"/>
    <xf numFmtId="0" fontId="0" fillId="0" borderId="9" xfId="0" applyFont="1" applyFill="1" applyBorder="1"/>
    <xf numFmtId="2" fontId="3" fillId="0" borderId="5" xfId="0" applyNumberFormat="1" applyFont="1" applyFill="1" applyBorder="1"/>
    <xf numFmtId="0" fontId="0" fillId="0" borderId="50" xfId="0" applyFill="1" applyBorder="1"/>
    <xf numFmtId="0" fontId="0" fillId="0" borderId="25" xfId="0" applyFill="1" applyBorder="1" applyAlignment="1">
      <alignment horizontal="center"/>
    </xf>
    <xf numFmtId="0" fontId="5" fillId="0" borderId="16" xfId="0" applyFont="1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" fillId="0" borderId="51" xfId="0" applyFont="1" applyFill="1" applyBorder="1"/>
    <xf numFmtId="0" fontId="3" fillId="0" borderId="52" xfId="0" applyFont="1" applyFill="1" applyBorder="1"/>
    <xf numFmtId="2" fontId="0" fillId="0" borderId="50" xfId="0" applyNumberFormat="1" applyFill="1" applyBorder="1"/>
    <xf numFmtId="164" fontId="0" fillId="0" borderId="16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2" fontId="0" fillId="0" borderId="50" xfId="0" applyNumberFormat="1" applyFill="1" applyBorder="1" applyAlignment="1">
      <alignment horizontal="center"/>
    </xf>
    <xf numFmtId="2" fontId="5" fillId="0" borderId="15" xfId="0" applyNumberFormat="1" applyFont="1" applyFill="1" applyBorder="1"/>
    <xf numFmtId="2" fontId="3" fillId="0" borderId="53" xfId="0" applyNumberFormat="1" applyFont="1" applyFill="1" applyBorder="1"/>
    <xf numFmtId="0" fontId="5" fillId="0" borderId="18" xfId="0" applyFont="1" applyFill="1" applyBorder="1"/>
    <xf numFmtId="0" fontId="5" fillId="0" borderId="27" xfId="0" applyFont="1" applyFill="1" applyBorder="1"/>
    <xf numFmtId="2" fontId="0" fillId="0" borderId="27" xfId="0" applyNumberFormat="1" applyFill="1" applyBorder="1"/>
    <xf numFmtId="2" fontId="0" fillId="0" borderId="27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3" fillId="0" borderId="54" xfId="0" applyFont="1" applyFill="1" applyBorder="1"/>
    <xf numFmtId="0" fontId="3" fillId="0" borderId="55" xfId="0" applyFont="1" applyFill="1" applyBorder="1"/>
    <xf numFmtId="2" fontId="0" fillId="0" borderId="43" xfId="0" applyNumberFormat="1" applyFill="1" applyBorder="1"/>
    <xf numFmtId="0" fontId="5" fillId="0" borderId="23" xfId="0" applyFont="1" applyFill="1" applyBorder="1"/>
    <xf numFmtId="164" fontId="0" fillId="0" borderId="23" xfId="0" applyNumberFormat="1" applyFill="1" applyBorder="1" applyAlignment="1">
      <alignment horizontal="center"/>
    </xf>
    <xf numFmtId="2" fontId="0" fillId="0" borderId="56" xfId="0" applyNumberFormat="1" applyFill="1" applyBorder="1"/>
    <xf numFmtId="2" fontId="0" fillId="0" borderId="13" xfId="0" applyNumberFormat="1" applyFill="1" applyBorder="1"/>
    <xf numFmtId="2" fontId="0" fillId="0" borderId="19" xfId="0" applyNumberFormat="1" applyFill="1" applyBorder="1"/>
    <xf numFmtId="2" fontId="0" fillId="0" borderId="28" xfId="0" applyNumberFormat="1" applyFill="1" applyBorder="1"/>
    <xf numFmtId="2" fontId="0" fillId="0" borderId="24" xfId="0" applyNumberFormat="1" applyFill="1" applyBorder="1"/>
    <xf numFmtId="2" fontId="0" fillId="0" borderId="41" xfId="0" applyNumberFormat="1" applyFill="1" applyBorder="1"/>
    <xf numFmtId="2" fontId="0" fillId="0" borderId="57" xfId="0" applyNumberFormat="1" applyFill="1" applyBorder="1"/>
    <xf numFmtId="2" fontId="4" fillId="0" borderId="10" xfId="0" applyNumberFormat="1" applyFont="1" applyFill="1" applyBorder="1"/>
    <xf numFmtId="2" fontId="0" fillId="0" borderId="30" xfId="0" applyNumberFormat="1" applyFill="1" applyBorder="1" applyAlignment="1">
      <alignment horizontal="center"/>
    </xf>
    <xf numFmtId="2" fontId="5" fillId="0" borderId="25" xfId="0" applyNumberFormat="1" applyFont="1" applyFill="1" applyBorder="1"/>
    <xf numFmtId="0" fontId="3" fillId="0" borderId="31" xfId="0" applyFont="1" applyFill="1" applyBorder="1" applyAlignment="1">
      <alignment horizontal="right"/>
    </xf>
    <xf numFmtId="0" fontId="0" fillId="0" borderId="10" xfId="0" applyFont="1" applyFill="1" applyBorder="1"/>
    <xf numFmtId="2" fontId="0" fillId="0" borderId="29" xfId="0" applyNumberFormat="1" applyFont="1" applyFill="1" applyBorder="1"/>
    <xf numFmtId="2" fontId="0" fillId="0" borderId="30" xfId="0" applyNumberFormat="1" applyFill="1" applyBorder="1" applyAlignment="1">
      <alignment horizontal="right"/>
    </xf>
    <xf numFmtId="0" fontId="3" fillId="0" borderId="5" xfId="0" applyFont="1" applyFill="1" applyBorder="1"/>
    <xf numFmtId="2" fontId="0" fillId="0" borderId="8" xfId="0" applyNumberFormat="1" applyFill="1" applyBorder="1"/>
    <xf numFmtId="0" fontId="3" fillId="0" borderId="8" xfId="0" applyFont="1" applyFill="1" applyBorder="1" applyAlignment="1">
      <alignment horizontal="right"/>
    </xf>
    <xf numFmtId="0" fontId="0" fillId="0" borderId="56" xfId="0" applyFill="1" applyBorder="1" applyAlignment="1">
      <alignment horizontal="center"/>
    </xf>
    <xf numFmtId="2" fontId="0" fillId="0" borderId="39" xfId="0" applyNumberFormat="1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21" xfId="0" applyFill="1" applyBorder="1"/>
    <xf numFmtId="0" fontId="0" fillId="0" borderId="39" xfId="0" applyFill="1" applyBorder="1"/>
    <xf numFmtId="0" fontId="0" fillId="0" borderId="11" xfId="0" applyFill="1" applyBorder="1"/>
    <xf numFmtId="0" fontId="0" fillId="0" borderId="17" xfId="0" applyFill="1" applyBorder="1"/>
    <xf numFmtId="0" fontId="0" fillId="0" borderId="26" xfId="0" applyFill="1" applyBorder="1"/>
    <xf numFmtId="0" fontId="0" fillId="0" borderId="2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5" fillId="0" borderId="23" xfId="0" applyNumberFormat="1" applyFont="1" applyFill="1" applyBorder="1"/>
    <xf numFmtId="2" fontId="5" fillId="0" borderId="22" xfId="0" applyNumberFormat="1" applyFont="1" applyFill="1" applyBorder="1"/>
    <xf numFmtId="2" fontId="0" fillId="0" borderId="46" xfId="0" applyNumberFormat="1" applyFill="1" applyBorder="1"/>
    <xf numFmtId="0" fontId="0" fillId="0" borderId="30" xfId="0" applyFill="1" applyBorder="1" applyAlignment="1">
      <alignment horizontal="center"/>
    </xf>
    <xf numFmtId="2" fontId="0" fillId="0" borderId="21" xfId="0" applyNumberFormat="1" applyFill="1" applyBorder="1"/>
    <xf numFmtId="2" fontId="0" fillId="0" borderId="51" xfId="0" applyNumberFormat="1" applyFill="1" applyBorder="1"/>
    <xf numFmtId="2" fontId="0" fillId="0" borderId="58" xfId="0" applyNumberFormat="1" applyFill="1" applyBorder="1"/>
    <xf numFmtId="2" fontId="0" fillId="0" borderId="38" xfId="0" applyNumberFormat="1" applyFill="1" applyBorder="1"/>
    <xf numFmtId="2" fontId="0" fillId="0" borderId="51" xfId="0" applyNumberFormat="1" applyFill="1" applyBorder="1" applyAlignment="1">
      <alignment horizontal="center"/>
    </xf>
    <xf numFmtId="2" fontId="5" fillId="0" borderId="37" xfId="0" applyNumberFormat="1" applyFont="1" applyFill="1" applyBorder="1"/>
    <xf numFmtId="0" fontId="5" fillId="0" borderId="15" xfId="0" applyFont="1" applyFill="1" applyBorder="1"/>
    <xf numFmtId="0" fontId="0" fillId="0" borderId="14" xfId="0" applyFill="1" applyBorder="1"/>
    <xf numFmtId="0" fontId="0" fillId="0" borderId="35" xfId="0" applyFill="1" applyBorder="1"/>
    <xf numFmtId="2" fontId="0" fillId="0" borderId="24" xfId="0" applyNumberForma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>
      <selection activeCell="A17" sqref="A17"/>
    </sheetView>
  </sheetViews>
  <sheetFormatPr defaultColWidth="9" defaultRowHeight="15" x14ac:dyDescent="0.25"/>
  <cols>
    <col min="1" max="1" width="5.28515625" style="3" customWidth="1"/>
    <col min="2" max="2" width="16.28515625" style="3" customWidth="1"/>
    <col min="3" max="3" width="17.85546875" style="3" customWidth="1"/>
    <col min="4" max="5" width="9.140625" style="3" customWidth="1"/>
    <col min="6" max="6" width="9.140625" style="54" customWidth="1"/>
    <col min="7" max="19" width="9.140625" style="3" customWidth="1"/>
    <col min="20" max="34" width="9" style="2"/>
    <col min="35" max="255" width="9" style="3"/>
    <col min="256" max="256" width="5.28515625" style="3" customWidth="1"/>
    <col min="257" max="257" width="21.5703125" style="3" customWidth="1"/>
    <col min="258" max="258" width="17.85546875" style="3" customWidth="1"/>
    <col min="259" max="275" width="9.140625" style="3" customWidth="1"/>
    <col min="276" max="511" width="9" style="3"/>
    <col min="512" max="512" width="5.28515625" style="3" customWidth="1"/>
    <col min="513" max="513" width="21.5703125" style="3" customWidth="1"/>
    <col min="514" max="514" width="17.85546875" style="3" customWidth="1"/>
    <col min="515" max="531" width="9.140625" style="3" customWidth="1"/>
    <col min="532" max="767" width="9" style="3"/>
    <col min="768" max="768" width="5.28515625" style="3" customWidth="1"/>
    <col min="769" max="769" width="21.5703125" style="3" customWidth="1"/>
    <col min="770" max="770" width="17.85546875" style="3" customWidth="1"/>
    <col min="771" max="787" width="9.140625" style="3" customWidth="1"/>
    <col min="788" max="1023" width="9" style="3"/>
    <col min="1024" max="1024" width="5.28515625" style="3" customWidth="1"/>
    <col min="1025" max="1025" width="21.5703125" style="3" customWidth="1"/>
    <col min="1026" max="1026" width="17.85546875" style="3" customWidth="1"/>
    <col min="1027" max="1043" width="9.140625" style="3" customWidth="1"/>
    <col min="1044" max="1279" width="9" style="3"/>
    <col min="1280" max="1280" width="5.28515625" style="3" customWidth="1"/>
    <col min="1281" max="1281" width="21.5703125" style="3" customWidth="1"/>
    <col min="1282" max="1282" width="17.85546875" style="3" customWidth="1"/>
    <col min="1283" max="1299" width="9.140625" style="3" customWidth="1"/>
    <col min="1300" max="1535" width="9" style="3"/>
    <col min="1536" max="1536" width="5.28515625" style="3" customWidth="1"/>
    <col min="1537" max="1537" width="21.5703125" style="3" customWidth="1"/>
    <col min="1538" max="1538" width="17.85546875" style="3" customWidth="1"/>
    <col min="1539" max="1555" width="9.140625" style="3" customWidth="1"/>
    <col min="1556" max="1791" width="9" style="3"/>
    <col min="1792" max="1792" width="5.28515625" style="3" customWidth="1"/>
    <col min="1793" max="1793" width="21.5703125" style="3" customWidth="1"/>
    <col min="1794" max="1794" width="17.85546875" style="3" customWidth="1"/>
    <col min="1795" max="1811" width="9.140625" style="3" customWidth="1"/>
    <col min="1812" max="2047" width="9" style="3"/>
    <col min="2048" max="2048" width="5.28515625" style="3" customWidth="1"/>
    <col min="2049" max="2049" width="21.5703125" style="3" customWidth="1"/>
    <col min="2050" max="2050" width="17.85546875" style="3" customWidth="1"/>
    <col min="2051" max="2067" width="9.140625" style="3" customWidth="1"/>
    <col min="2068" max="2303" width="9" style="3"/>
    <col min="2304" max="2304" width="5.28515625" style="3" customWidth="1"/>
    <col min="2305" max="2305" width="21.5703125" style="3" customWidth="1"/>
    <col min="2306" max="2306" width="17.85546875" style="3" customWidth="1"/>
    <col min="2307" max="2323" width="9.140625" style="3" customWidth="1"/>
    <col min="2324" max="2559" width="9" style="3"/>
    <col min="2560" max="2560" width="5.28515625" style="3" customWidth="1"/>
    <col min="2561" max="2561" width="21.5703125" style="3" customWidth="1"/>
    <col min="2562" max="2562" width="17.85546875" style="3" customWidth="1"/>
    <col min="2563" max="2579" width="9.140625" style="3" customWidth="1"/>
    <col min="2580" max="2815" width="9" style="3"/>
    <col min="2816" max="2816" width="5.28515625" style="3" customWidth="1"/>
    <col min="2817" max="2817" width="21.5703125" style="3" customWidth="1"/>
    <col min="2818" max="2818" width="17.85546875" style="3" customWidth="1"/>
    <col min="2819" max="2835" width="9.140625" style="3" customWidth="1"/>
    <col min="2836" max="3071" width="9" style="3"/>
    <col min="3072" max="3072" width="5.28515625" style="3" customWidth="1"/>
    <col min="3073" max="3073" width="21.5703125" style="3" customWidth="1"/>
    <col min="3074" max="3074" width="17.85546875" style="3" customWidth="1"/>
    <col min="3075" max="3091" width="9.140625" style="3" customWidth="1"/>
    <col min="3092" max="3327" width="9" style="3"/>
    <col min="3328" max="3328" width="5.28515625" style="3" customWidth="1"/>
    <col min="3329" max="3329" width="21.5703125" style="3" customWidth="1"/>
    <col min="3330" max="3330" width="17.85546875" style="3" customWidth="1"/>
    <col min="3331" max="3347" width="9.140625" style="3" customWidth="1"/>
    <col min="3348" max="3583" width="9" style="3"/>
    <col min="3584" max="3584" width="5.28515625" style="3" customWidth="1"/>
    <col min="3585" max="3585" width="21.5703125" style="3" customWidth="1"/>
    <col min="3586" max="3586" width="17.85546875" style="3" customWidth="1"/>
    <col min="3587" max="3603" width="9.140625" style="3" customWidth="1"/>
    <col min="3604" max="3839" width="9" style="3"/>
    <col min="3840" max="3840" width="5.28515625" style="3" customWidth="1"/>
    <col min="3841" max="3841" width="21.5703125" style="3" customWidth="1"/>
    <col min="3842" max="3842" width="17.85546875" style="3" customWidth="1"/>
    <col min="3843" max="3859" width="9.140625" style="3" customWidth="1"/>
    <col min="3860" max="4095" width="9" style="3"/>
    <col min="4096" max="4096" width="5.28515625" style="3" customWidth="1"/>
    <col min="4097" max="4097" width="21.5703125" style="3" customWidth="1"/>
    <col min="4098" max="4098" width="17.85546875" style="3" customWidth="1"/>
    <col min="4099" max="4115" width="9.140625" style="3" customWidth="1"/>
    <col min="4116" max="4351" width="9" style="3"/>
    <col min="4352" max="4352" width="5.28515625" style="3" customWidth="1"/>
    <col min="4353" max="4353" width="21.5703125" style="3" customWidth="1"/>
    <col min="4354" max="4354" width="17.85546875" style="3" customWidth="1"/>
    <col min="4355" max="4371" width="9.140625" style="3" customWidth="1"/>
    <col min="4372" max="4607" width="9" style="3"/>
    <col min="4608" max="4608" width="5.28515625" style="3" customWidth="1"/>
    <col min="4609" max="4609" width="21.5703125" style="3" customWidth="1"/>
    <col min="4610" max="4610" width="17.85546875" style="3" customWidth="1"/>
    <col min="4611" max="4627" width="9.140625" style="3" customWidth="1"/>
    <col min="4628" max="4863" width="9" style="3"/>
    <col min="4864" max="4864" width="5.28515625" style="3" customWidth="1"/>
    <col min="4865" max="4865" width="21.5703125" style="3" customWidth="1"/>
    <col min="4866" max="4866" width="17.85546875" style="3" customWidth="1"/>
    <col min="4867" max="4883" width="9.140625" style="3" customWidth="1"/>
    <col min="4884" max="5119" width="9" style="3"/>
    <col min="5120" max="5120" width="5.28515625" style="3" customWidth="1"/>
    <col min="5121" max="5121" width="21.5703125" style="3" customWidth="1"/>
    <col min="5122" max="5122" width="17.85546875" style="3" customWidth="1"/>
    <col min="5123" max="5139" width="9.140625" style="3" customWidth="1"/>
    <col min="5140" max="5375" width="9" style="3"/>
    <col min="5376" max="5376" width="5.28515625" style="3" customWidth="1"/>
    <col min="5377" max="5377" width="21.5703125" style="3" customWidth="1"/>
    <col min="5378" max="5378" width="17.85546875" style="3" customWidth="1"/>
    <col min="5379" max="5395" width="9.140625" style="3" customWidth="1"/>
    <col min="5396" max="5631" width="9" style="3"/>
    <col min="5632" max="5632" width="5.28515625" style="3" customWidth="1"/>
    <col min="5633" max="5633" width="21.5703125" style="3" customWidth="1"/>
    <col min="5634" max="5634" width="17.85546875" style="3" customWidth="1"/>
    <col min="5635" max="5651" width="9.140625" style="3" customWidth="1"/>
    <col min="5652" max="5887" width="9" style="3"/>
    <col min="5888" max="5888" width="5.28515625" style="3" customWidth="1"/>
    <col min="5889" max="5889" width="21.5703125" style="3" customWidth="1"/>
    <col min="5890" max="5890" width="17.85546875" style="3" customWidth="1"/>
    <col min="5891" max="5907" width="9.140625" style="3" customWidth="1"/>
    <col min="5908" max="6143" width="9" style="3"/>
    <col min="6144" max="6144" width="5.28515625" style="3" customWidth="1"/>
    <col min="6145" max="6145" width="21.5703125" style="3" customWidth="1"/>
    <col min="6146" max="6146" width="17.85546875" style="3" customWidth="1"/>
    <col min="6147" max="6163" width="9.140625" style="3" customWidth="1"/>
    <col min="6164" max="6399" width="9" style="3"/>
    <col min="6400" max="6400" width="5.28515625" style="3" customWidth="1"/>
    <col min="6401" max="6401" width="21.5703125" style="3" customWidth="1"/>
    <col min="6402" max="6402" width="17.85546875" style="3" customWidth="1"/>
    <col min="6403" max="6419" width="9.140625" style="3" customWidth="1"/>
    <col min="6420" max="6655" width="9" style="3"/>
    <col min="6656" max="6656" width="5.28515625" style="3" customWidth="1"/>
    <col min="6657" max="6657" width="21.5703125" style="3" customWidth="1"/>
    <col min="6658" max="6658" width="17.85546875" style="3" customWidth="1"/>
    <col min="6659" max="6675" width="9.140625" style="3" customWidth="1"/>
    <col min="6676" max="6911" width="9" style="3"/>
    <col min="6912" max="6912" width="5.28515625" style="3" customWidth="1"/>
    <col min="6913" max="6913" width="21.5703125" style="3" customWidth="1"/>
    <col min="6914" max="6914" width="17.85546875" style="3" customWidth="1"/>
    <col min="6915" max="6931" width="9.140625" style="3" customWidth="1"/>
    <col min="6932" max="7167" width="9" style="3"/>
    <col min="7168" max="7168" width="5.28515625" style="3" customWidth="1"/>
    <col min="7169" max="7169" width="21.5703125" style="3" customWidth="1"/>
    <col min="7170" max="7170" width="17.85546875" style="3" customWidth="1"/>
    <col min="7171" max="7187" width="9.140625" style="3" customWidth="1"/>
    <col min="7188" max="7423" width="9" style="3"/>
    <col min="7424" max="7424" width="5.28515625" style="3" customWidth="1"/>
    <col min="7425" max="7425" width="21.5703125" style="3" customWidth="1"/>
    <col min="7426" max="7426" width="17.85546875" style="3" customWidth="1"/>
    <col min="7427" max="7443" width="9.140625" style="3" customWidth="1"/>
    <col min="7444" max="7679" width="9" style="3"/>
    <col min="7680" max="7680" width="5.28515625" style="3" customWidth="1"/>
    <col min="7681" max="7681" width="21.5703125" style="3" customWidth="1"/>
    <col min="7682" max="7682" width="17.85546875" style="3" customWidth="1"/>
    <col min="7683" max="7699" width="9.140625" style="3" customWidth="1"/>
    <col min="7700" max="7935" width="9" style="3"/>
    <col min="7936" max="7936" width="5.28515625" style="3" customWidth="1"/>
    <col min="7937" max="7937" width="21.5703125" style="3" customWidth="1"/>
    <col min="7938" max="7938" width="17.85546875" style="3" customWidth="1"/>
    <col min="7939" max="7955" width="9.140625" style="3" customWidth="1"/>
    <col min="7956" max="8191" width="9" style="3"/>
    <col min="8192" max="8192" width="5.28515625" style="3" customWidth="1"/>
    <col min="8193" max="8193" width="21.5703125" style="3" customWidth="1"/>
    <col min="8194" max="8194" width="17.85546875" style="3" customWidth="1"/>
    <col min="8195" max="8211" width="9.140625" style="3" customWidth="1"/>
    <col min="8212" max="8447" width="9" style="3"/>
    <col min="8448" max="8448" width="5.28515625" style="3" customWidth="1"/>
    <col min="8449" max="8449" width="21.5703125" style="3" customWidth="1"/>
    <col min="8450" max="8450" width="17.85546875" style="3" customWidth="1"/>
    <col min="8451" max="8467" width="9.140625" style="3" customWidth="1"/>
    <col min="8468" max="8703" width="9" style="3"/>
    <col min="8704" max="8704" width="5.28515625" style="3" customWidth="1"/>
    <col min="8705" max="8705" width="21.5703125" style="3" customWidth="1"/>
    <col min="8706" max="8706" width="17.85546875" style="3" customWidth="1"/>
    <col min="8707" max="8723" width="9.140625" style="3" customWidth="1"/>
    <col min="8724" max="8959" width="9" style="3"/>
    <col min="8960" max="8960" width="5.28515625" style="3" customWidth="1"/>
    <col min="8961" max="8961" width="21.5703125" style="3" customWidth="1"/>
    <col min="8962" max="8962" width="17.85546875" style="3" customWidth="1"/>
    <col min="8963" max="8979" width="9.140625" style="3" customWidth="1"/>
    <col min="8980" max="9215" width="9" style="3"/>
    <col min="9216" max="9216" width="5.28515625" style="3" customWidth="1"/>
    <col min="9217" max="9217" width="21.5703125" style="3" customWidth="1"/>
    <col min="9218" max="9218" width="17.85546875" style="3" customWidth="1"/>
    <col min="9219" max="9235" width="9.140625" style="3" customWidth="1"/>
    <col min="9236" max="9471" width="9" style="3"/>
    <col min="9472" max="9472" width="5.28515625" style="3" customWidth="1"/>
    <col min="9473" max="9473" width="21.5703125" style="3" customWidth="1"/>
    <col min="9474" max="9474" width="17.85546875" style="3" customWidth="1"/>
    <col min="9475" max="9491" width="9.140625" style="3" customWidth="1"/>
    <col min="9492" max="9727" width="9" style="3"/>
    <col min="9728" max="9728" width="5.28515625" style="3" customWidth="1"/>
    <col min="9729" max="9729" width="21.5703125" style="3" customWidth="1"/>
    <col min="9730" max="9730" width="17.85546875" style="3" customWidth="1"/>
    <col min="9731" max="9747" width="9.140625" style="3" customWidth="1"/>
    <col min="9748" max="9983" width="9" style="3"/>
    <col min="9984" max="9984" width="5.28515625" style="3" customWidth="1"/>
    <col min="9985" max="9985" width="21.5703125" style="3" customWidth="1"/>
    <col min="9986" max="9986" width="17.85546875" style="3" customWidth="1"/>
    <col min="9987" max="10003" width="9.140625" style="3" customWidth="1"/>
    <col min="10004" max="10239" width="9" style="3"/>
    <col min="10240" max="10240" width="5.28515625" style="3" customWidth="1"/>
    <col min="10241" max="10241" width="21.5703125" style="3" customWidth="1"/>
    <col min="10242" max="10242" width="17.85546875" style="3" customWidth="1"/>
    <col min="10243" max="10259" width="9.140625" style="3" customWidth="1"/>
    <col min="10260" max="10495" width="9" style="3"/>
    <col min="10496" max="10496" width="5.28515625" style="3" customWidth="1"/>
    <col min="10497" max="10497" width="21.5703125" style="3" customWidth="1"/>
    <col min="10498" max="10498" width="17.85546875" style="3" customWidth="1"/>
    <col min="10499" max="10515" width="9.140625" style="3" customWidth="1"/>
    <col min="10516" max="10751" width="9" style="3"/>
    <col min="10752" max="10752" width="5.28515625" style="3" customWidth="1"/>
    <col min="10753" max="10753" width="21.5703125" style="3" customWidth="1"/>
    <col min="10754" max="10754" width="17.85546875" style="3" customWidth="1"/>
    <col min="10755" max="10771" width="9.140625" style="3" customWidth="1"/>
    <col min="10772" max="11007" width="9" style="3"/>
    <col min="11008" max="11008" width="5.28515625" style="3" customWidth="1"/>
    <col min="11009" max="11009" width="21.5703125" style="3" customWidth="1"/>
    <col min="11010" max="11010" width="17.85546875" style="3" customWidth="1"/>
    <col min="11011" max="11027" width="9.140625" style="3" customWidth="1"/>
    <col min="11028" max="11263" width="9" style="3"/>
    <col min="11264" max="11264" width="5.28515625" style="3" customWidth="1"/>
    <col min="11265" max="11265" width="21.5703125" style="3" customWidth="1"/>
    <col min="11266" max="11266" width="17.85546875" style="3" customWidth="1"/>
    <col min="11267" max="11283" width="9.140625" style="3" customWidth="1"/>
    <col min="11284" max="11519" width="9" style="3"/>
    <col min="11520" max="11520" width="5.28515625" style="3" customWidth="1"/>
    <col min="11521" max="11521" width="21.5703125" style="3" customWidth="1"/>
    <col min="11522" max="11522" width="17.85546875" style="3" customWidth="1"/>
    <col min="11523" max="11539" width="9.140625" style="3" customWidth="1"/>
    <col min="11540" max="11775" width="9" style="3"/>
    <col min="11776" max="11776" width="5.28515625" style="3" customWidth="1"/>
    <col min="11777" max="11777" width="21.5703125" style="3" customWidth="1"/>
    <col min="11778" max="11778" width="17.85546875" style="3" customWidth="1"/>
    <col min="11779" max="11795" width="9.140625" style="3" customWidth="1"/>
    <col min="11796" max="12031" width="9" style="3"/>
    <col min="12032" max="12032" width="5.28515625" style="3" customWidth="1"/>
    <col min="12033" max="12033" width="21.5703125" style="3" customWidth="1"/>
    <col min="12034" max="12034" width="17.85546875" style="3" customWidth="1"/>
    <col min="12035" max="12051" width="9.140625" style="3" customWidth="1"/>
    <col min="12052" max="12287" width="9" style="3"/>
    <col min="12288" max="12288" width="5.28515625" style="3" customWidth="1"/>
    <col min="12289" max="12289" width="21.5703125" style="3" customWidth="1"/>
    <col min="12290" max="12290" width="17.85546875" style="3" customWidth="1"/>
    <col min="12291" max="12307" width="9.140625" style="3" customWidth="1"/>
    <col min="12308" max="12543" width="9" style="3"/>
    <col min="12544" max="12544" width="5.28515625" style="3" customWidth="1"/>
    <col min="12545" max="12545" width="21.5703125" style="3" customWidth="1"/>
    <col min="12546" max="12546" width="17.85546875" style="3" customWidth="1"/>
    <col min="12547" max="12563" width="9.140625" style="3" customWidth="1"/>
    <col min="12564" max="12799" width="9" style="3"/>
    <col min="12800" max="12800" width="5.28515625" style="3" customWidth="1"/>
    <col min="12801" max="12801" width="21.5703125" style="3" customWidth="1"/>
    <col min="12802" max="12802" width="17.85546875" style="3" customWidth="1"/>
    <col min="12803" max="12819" width="9.140625" style="3" customWidth="1"/>
    <col min="12820" max="13055" width="9" style="3"/>
    <col min="13056" max="13056" width="5.28515625" style="3" customWidth="1"/>
    <col min="13057" max="13057" width="21.5703125" style="3" customWidth="1"/>
    <col min="13058" max="13058" width="17.85546875" style="3" customWidth="1"/>
    <col min="13059" max="13075" width="9.140625" style="3" customWidth="1"/>
    <col min="13076" max="13311" width="9" style="3"/>
    <col min="13312" max="13312" width="5.28515625" style="3" customWidth="1"/>
    <col min="13313" max="13313" width="21.5703125" style="3" customWidth="1"/>
    <col min="13314" max="13314" width="17.85546875" style="3" customWidth="1"/>
    <col min="13315" max="13331" width="9.140625" style="3" customWidth="1"/>
    <col min="13332" max="13567" width="9" style="3"/>
    <col min="13568" max="13568" width="5.28515625" style="3" customWidth="1"/>
    <col min="13569" max="13569" width="21.5703125" style="3" customWidth="1"/>
    <col min="13570" max="13570" width="17.85546875" style="3" customWidth="1"/>
    <col min="13571" max="13587" width="9.140625" style="3" customWidth="1"/>
    <col min="13588" max="13823" width="9" style="3"/>
    <col min="13824" max="13824" width="5.28515625" style="3" customWidth="1"/>
    <col min="13825" max="13825" width="21.5703125" style="3" customWidth="1"/>
    <col min="13826" max="13826" width="17.85546875" style="3" customWidth="1"/>
    <col min="13827" max="13843" width="9.140625" style="3" customWidth="1"/>
    <col min="13844" max="14079" width="9" style="3"/>
    <col min="14080" max="14080" width="5.28515625" style="3" customWidth="1"/>
    <col min="14081" max="14081" width="21.5703125" style="3" customWidth="1"/>
    <col min="14082" max="14082" width="17.85546875" style="3" customWidth="1"/>
    <col min="14083" max="14099" width="9.140625" style="3" customWidth="1"/>
    <col min="14100" max="14335" width="9" style="3"/>
    <col min="14336" max="14336" width="5.28515625" style="3" customWidth="1"/>
    <col min="14337" max="14337" width="21.5703125" style="3" customWidth="1"/>
    <col min="14338" max="14338" width="17.85546875" style="3" customWidth="1"/>
    <col min="14339" max="14355" width="9.140625" style="3" customWidth="1"/>
    <col min="14356" max="14591" width="9" style="3"/>
    <col min="14592" max="14592" width="5.28515625" style="3" customWidth="1"/>
    <col min="14593" max="14593" width="21.5703125" style="3" customWidth="1"/>
    <col min="14594" max="14594" width="17.85546875" style="3" customWidth="1"/>
    <col min="14595" max="14611" width="9.140625" style="3" customWidth="1"/>
    <col min="14612" max="14847" width="9" style="3"/>
    <col min="14848" max="14848" width="5.28515625" style="3" customWidth="1"/>
    <col min="14849" max="14849" width="21.5703125" style="3" customWidth="1"/>
    <col min="14850" max="14850" width="17.85546875" style="3" customWidth="1"/>
    <col min="14851" max="14867" width="9.140625" style="3" customWidth="1"/>
    <col min="14868" max="15103" width="9" style="3"/>
    <col min="15104" max="15104" width="5.28515625" style="3" customWidth="1"/>
    <col min="15105" max="15105" width="21.5703125" style="3" customWidth="1"/>
    <col min="15106" max="15106" width="17.85546875" style="3" customWidth="1"/>
    <col min="15107" max="15123" width="9.140625" style="3" customWidth="1"/>
    <col min="15124" max="15359" width="9" style="3"/>
    <col min="15360" max="15360" width="5.28515625" style="3" customWidth="1"/>
    <col min="15361" max="15361" width="21.5703125" style="3" customWidth="1"/>
    <col min="15362" max="15362" width="17.85546875" style="3" customWidth="1"/>
    <col min="15363" max="15379" width="9.140625" style="3" customWidth="1"/>
    <col min="15380" max="15615" width="9" style="3"/>
    <col min="15616" max="15616" width="5.28515625" style="3" customWidth="1"/>
    <col min="15617" max="15617" width="21.5703125" style="3" customWidth="1"/>
    <col min="15618" max="15618" width="17.85546875" style="3" customWidth="1"/>
    <col min="15619" max="15635" width="9.140625" style="3" customWidth="1"/>
    <col min="15636" max="15871" width="9" style="3"/>
    <col min="15872" max="15872" width="5.28515625" style="3" customWidth="1"/>
    <col min="15873" max="15873" width="21.5703125" style="3" customWidth="1"/>
    <col min="15874" max="15874" width="17.85546875" style="3" customWidth="1"/>
    <col min="15875" max="15891" width="9.140625" style="3" customWidth="1"/>
    <col min="15892" max="16127" width="9" style="3"/>
    <col min="16128" max="16128" width="5.28515625" style="3" customWidth="1"/>
    <col min="16129" max="16129" width="21.5703125" style="3" customWidth="1"/>
    <col min="16130" max="16130" width="17.85546875" style="3" customWidth="1"/>
    <col min="16131" max="16147" width="9.140625" style="3" customWidth="1"/>
    <col min="16148" max="16384" width="9" style="3"/>
  </cols>
  <sheetData>
    <row r="1" spans="1:34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34" s="12" customFormat="1" ht="179.25" customHeight="1" thickBot="1" x14ac:dyDescent="0.3">
      <c r="A2" s="4" t="s">
        <v>0</v>
      </c>
      <c r="B2" s="5" t="s">
        <v>1</v>
      </c>
      <c r="C2" s="6" t="s">
        <v>2</v>
      </c>
      <c r="D2" s="7" t="s">
        <v>90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21" customFormat="1" x14ac:dyDescent="0.25">
      <c r="A3" s="13" t="s">
        <v>4</v>
      </c>
      <c r="B3" s="14" t="s">
        <v>60</v>
      </c>
      <c r="C3" s="15" t="s">
        <v>5</v>
      </c>
      <c r="D3" s="19">
        <f>100-(56.26-56.26)/56.26*50</f>
        <v>100</v>
      </c>
      <c r="E3" s="19">
        <f>100-(105-104.93)/104.93*50</f>
        <v>99.966644429619748</v>
      </c>
      <c r="F3" s="16"/>
      <c r="G3" s="16"/>
      <c r="H3" s="17"/>
      <c r="I3" s="154"/>
      <c r="J3" s="17"/>
      <c r="K3" s="17"/>
      <c r="L3" s="16"/>
      <c r="M3" s="16"/>
      <c r="N3" s="16"/>
      <c r="O3" s="17"/>
      <c r="P3" s="17"/>
      <c r="Q3" s="17"/>
      <c r="R3" s="17"/>
      <c r="S3" s="20">
        <f>SUM(D3:R3)-P3-H3</f>
        <v>199.96664442961975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21" customFormat="1" x14ac:dyDescent="0.25">
      <c r="A4" s="22" t="s">
        <v>6</v>
      </c>
      <c r="B4" s="23" t="s">
        <v>9</v>
      </c>
      <c r="C4" s="24" t="s">
        <v>10</v>
      </c>
      <c r="D4" s="19">
        <f>100-(57-56.26)/56.26*50</f>
        <v>99.3423391397085</v>
      </c>
      <c r="E4" s="19">
        <f>100-(104.93-104.93)/104.93*50</f>
        <v>100</v>
      </c>
      <c r="F4" s="18"/>
      <c r="G4" s="18"/>
      <c r="H4" s="18"/>
      <c r="I4" s="18"/>
      <c r="J4" s="18"/>
      <c r="K4" s="18"/>
      <c r="L4" s="18"/>
      <c r="M4" s="18"/>
      <c r="N4" s="18"/>
      <c r="O4" s="19"/>
      <c r="P4" s="18"/>
      <c r="Q4" s="18"/>
      <c r="R4" s="18"/>
      <c r="S4" s="26">
        <f>SUM(D4:R4)</f>
        <v>199.34233913970849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21" customFormat="1" x14ac:dyDescent="0.25">
      <c r="A5" s="22" t="s">
        <v>8</v>
      </c>
      <c r="B5" s="23" t="s">
        <v>81</v>
      </c>
      <c r="C5" s="24" t="s">
        <v>82</v>
      </c>
      <c r="D5" s="19">
        <f>100-(62.48-56.26)/56.26*50</f>
        <v>94.47209384998223</v>
      </c>
      <c r="E5" s="19">
        <f>100-(105.03-104.93)/104.93*50</f>
        <v>99.952349185171073</v>
      </c>
      <c r="F5" s="113"/>
      <c r="G5" s="32"/>
      <c r="J5" s="19"/>
      <c r="L5" s="19"/>
      <c r="M5" s="19"/>
      <c r="P5" s="18"/>
      <c r="Q5" s="28"/>
      <c r="S5" s="26">
        <f>SUM(D5:R5)</f>
        <v>194.4244430351533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21" customFormat="1" x14ac:dyDescent="0.25">
      <c r="A6" s="22" t="s">
        <v>11</v>
      </c>
      <c r="B6" s="23" t="s">
        <v>65</v>
      </c>
      <c r="C6" s="24" t="s">
        <v>14</v>
      </c>
      <c r="D6" s="19">
        <f>100-(60.42-56.26)/56.26*50</f>
        <v>96.302879488091008</v>
      </c>
      <c r="E6" s="19">
        <f>100-(112.08-104.93)/104.93*50</f>
        <v>96.592966739731253</v>
      </c>
      <c r="F6" s="3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26">
        <f>SUM(D6:R6)</f>
        <v>192.89584622782226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21" customFormat="1" x14ac:dyDescent="0.25">
      <c r="A7" s="22" t="s">
        <v>13</v>
      </c>
      <c r="B7" s="23" t="s">
        <v>27</v>
      </c>
      <c r="C7" s="24" t="s">
        <v>19</v>
      </c>
      <c r="D7" s="19">
        <f>100-(60.6-56.26)/56.26*50</f>
        <v>96.142907927479555</v>
      </c>
      <c r="E7" s="19">
        <f>100-(115.15-104.93)/104.93*50</f>
        <v>95.130086724482993</v>
      </c>
      <c r="F7" s="167"/>
      <c r="G7" s="18"/>
      <c r="H7" s="18"/>
      <c r="I7" s="18"/>
      <c r="J7" s="96"/>
      <c r="K7" s="18"/>
      <c r="L7" s="18"/>
      <c r="M7" s="18"/>
      <c r="N7" s="18"/>
      <c r="O7" s="18"/>
      <c r="P7" s="18"/>
      <c r="Q7" s="18"/>
      <c r="R7" s="18"/>
      <c r="S7" s="26">
        <f>SUM(D7:R7)</f>
        <v>191.27299465196256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21" customFormat="1" x14ac:dyDescent="0.25">
      <c r="A8" s="22" t="s">
        <v>15</v>
      </c>
      <c r="B8" s="23" t="s">
        <v>16</v>
      </c>
      <c r="C8" s="24" t="s">
        <v>17</v>
      </c>
      <c r="D8" s="19">
        <f>100-(71.73-56.26)/56.26*50</f>
        <v>86.251333096338428</v>
      </c>
      <c r="E8" s="19">
        <f>100-(115.3-104.93)/104.93*50</f>
        <v>95.058610502239588</v>
      </c>
      <c r="F8" s="18"/>
      <c r="G8" s="18"/>
      <c r="H8" s="18"/>
      <c r="I8" s="18"/>
      <c r="J8" s="18"/>
      <c r="K8" s="18"/>
      <c r="L8" s="18"/>
      <c r="M8" s="25"/>
      <c r="N8" s="18"/>
      <c r="O8" s="18"/>
      <c r="P8" s="68"/>
      <c r="Q8" s="18"/>
      <c r="R8" s="18"/>
      <c r="S8" s="26">
        <f>SUM(D8:R8)</f>
        <v>181.309943598578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21" customFormat="1" x14ac:dyDescent="0.25">
      <c r="A9" s="22" t="s">
        <v>18</v>
      </c>
      <c r="B9" s="23" t="s">
        <v>23</v>
      </c>
      <c r="C9" s="24" t="s">
        <v>24</v>
      </c>
      <c r="D9" s="19">
        <f>100-(56.52-56.26)/56.26*50</f>
        <v>99.768929968005679</v>
      </c>
      <c r="E9" s="122" t="s">
        <v>12</v>
      </c>
      <c r="F9" s="18"/>
      <c r="G9" s="18"/>
      <c r="H9" s="18"/>
      <c r="I9" s="68"/>
      <c r="J9" s="18"/>
      <c r="K9" s="18"/>
      <c r="L9" s="19"/>
      <c r="M9" s="19"/>
      <c r="N9" s="19"/>
      <c r="O9" s="19"/>
      <c r="P9" s="18"/>
      <c r="Q9" s="144"/>
      <c r="R9" s="18"/>
      <c r="S9" s="26">
        <f>SUM(D9:R9)</f>
        <v>99.768929968005679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21" customFormat="1" x14ac:dyDescent="0.25">
      <c r="A10" s="22" t="s">
        <v>20</v>
      </c>
      <c r="B10" s="23" t="s">
        <v>70</v>
      </c>
      <c r="C10" s="24" t="s">
        <v>36</v>
      </c>
      <c r="D10" s="30">
        <f>100-(60.33-56.26)/56.26*50</f>
        <v>96.382865268396728</v>
      </c>
      <c r="E10" s="19"/>
      <c r="F10" s="19"/>
      <c r="G10" s="19"/>
      <c r="J10" s="18"/>
      <c r="K10" s="18"/>
      <c r="L10" s="19"/>
      <c r="M10" s="19"/>
      <c r="N10" s="18"/>
      <c r="O10" s="18"/>
      <c r="P10" s="18"/>
      <c r="Q10" s="115"/>
      <c r="R10" s="18"/>
      <c r="S10" s="26">
        <f>SUM(D10:R10)-F10-J10-O10</f>
        <v>96.382865268396728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21" customFormat="1" x14ac:dyDescent="0.25">
      <c r="A11" s="22" t="s">
        <v>22</v>
      </c>
      <c r="B11" s="23" t="s">
        <v>105</v>
      </c>
      <c r="C11" s="24"/>
      <c r="D11" s="19">
        <f>100-(66.97-56.26)/56.26*50</f>
        <v>90.481692143618915</v>
      </c>
      <c r="E11" s="18"/>
      <c r="F11" s="27"/>
      <c r="G11" s="2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6">
        <f>SUM(D11:R11)-H11-K11-O11-P11</f>
        <v>90.481692143618915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21" customFormat="1" x14ac:dyDescent="0.25">
      <c r="A12" s="22" t="s">
        <v>25</v>
      </c>
      <c r="B12" s="23" t="s">
        <v>106</v>
      </c>
      <c r="C12" s="24" t="s">
        <v>93</v>
      </c>
      <c r="D12" s="19">
        <f>100-(69.07-56.26)/56.26*50</f>
        <v>88.615357269818702</v>
      </c>
      <c r="E12" s="19"/>
      <c r="F12" s="18"/>
      <c r="G12" s="18"/>
      <c r="H12" s="18"/>
      <c r="I12" s="18"/>
      <c r="J12" s="18"/>
      <c r="K12" s="18"/>
      <c r="L12" s="18"/>
      <c r="M12" s="25"/>
      <c r="N12" s="18"/>
      <c r="O12" s="18"/>
      <c r="P12" s="18"/>
      <c r="Q12" s="28"/>
      <c r="R12" s="18"/>
      <c r="S12" s="26">
        <f>SUM(D12:R12)</f>
        <v>88.615357269818702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21" customFormat="1" x14ac:dyDescent="0.25">
      <c r="A13" s="22" t="s">
        <v>26</v>
      </c>
      <c r="B13" s="23" t="s">
        <v>109</v>
      </c>
      <c r="C13" s="24" t="s">
        <v>50</v>
      </c>
      <c r="D13" s="19">
        <f>100-(74.92-56.26)/56.26*50</f>
        <v>83.416281549946675</v>
      </c>
      <c r="E13" s="19"/>
      <c r="F13" s="33"/>
      <c r="G13" s="18"/>
      <c r="H13" s="18"/>
      <c r="I13" s="18"/>
      <c r="J13" s="18"/>
      <c r="K13" s="18"/>
      <c r="L13" s="18"/>
      <c r="M13" s="25"/>
      <c r="N13" s="33"/>
      <c r="O13" s="18"/>
      <c r="P13" s="18"/>
      <c r="Q13" s="168"/>
      <c r="R13" s="168"/>
      <c r="S13" s="26">
        <f>SUM(D13:R13)</f>
        <v>83.416281549946675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21" customFormat="1" x14ac:dyDescent="0.25">
      <c r="A14" s="22" t="s">
        <v>28</v>
      </c>
      <c r="B14" s="23" t="s">
        <v>108</v>
      </c>
      <c r="C14" s="24" t="s">
        <v>44</v>
      </c>
      <c r="D14" s="19">
        <f>100-(75.85-56.26)/56.26*50</f>
        <v>82.58976182012087</v>
      </c>
      <c r="E14" s="18"/>
      <c r="F14" s="27"/>
      <c r="G14" s="29"/>
      <c r="H14" s="18"/>
      <c r="I14" s="18"/>
      <c r="J14" s="18"/>
      <c r="K14" s="18"/>
      <c r="L14" s="19"/>
      <c r="M14" s="19"/>
      <c r="N14" s="18"/>
      <c r="O14" s="18"/>
      <c r="P14" s="18"/>
      <c r="Q14" s="18"/>
      <c r="R14" s="19"/>
      <c r="S14" s="26">
        <f>SUM(D14:R14)</f>
        <v>82.58976182012087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21" customFormat="1" x14ac:dyDescent="0.25">
      <c r="A15" s="22" t="s">
        <v>29</v>
      </c>
      <c r="B15" s="23" t="s">
        <v>79</v>
      </c>
      <c r="C15" s="24" t="s">
        <v>80</v>
      </c>
      <c r="D15" s="19">
        <f>100-(88.78-56.26)/56.26*50</f>
        <v>71.098471382865256</v>
      </c>
      <c r="E15" s="18"/>
      <c r="F15" s="18"/>
      <c r="G15" s="18"/>
      <c r="H15" s="19"/>
      <c r="I15" s="19"/>
      <c r="J15" s="18"/>
      <c r="K15" s="18"/>
      <c r="L15" s="18"/>
      <c r="M15" s="36"/>
      <c r="N15" s="18"/>
      <c r="O15" s="33"/>
      <c r="P15" s="18"/>
      <c r="Q15" s="18"/>
      <c r="R15" s="18"/>
      <c r="S15" s="26">
        <f>SUM(D15:R15)</f>
        <v>71.098471382865256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21" customFormat="1" x14ac:dyDescent="0.25">
      <c r="A16" s="22" t="s">
        <v>30</v>
      </c>
      <c r="B16" s="23" t="s">
        <v>42</v>
      </c>
      <c r="C16" s="31" t="s">
        <v>17</v>
      </c>
      <c r="D16" s="115"/>
      <c r="E16" s="19">
        <f>100-(184.07-104.93)/104.93*50</f>
        <v>62.289145144381983</v>
      </c>
      <c r="F16" s="19"/>
      <c r="G16" s="19"/>
      <c r="H16" s="18"/>
      <c r="I16" s="18"/>
      <c r="J16" s="18"/>
      <c r="L16" s="19"/>
      <c r="M16" s="19"/>
      <c r="P16" s="18"/>
      <c r="Q16" s="28"/>
      <c r="R16" s="75"/>
      <c r="S16" s="26">
        <f>SUM(D16:R16)</f>
        <v>62.289145144381983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21" customFormat="1" x14ac:dyDescent="0.25">
      <c r="A17" s="22"/>
      <c r="B17" s="23"/>
      <c r="C17" s="31"/>
      <c r="D17" s="115"/>
      <c r="E17" s="115"/>
      <c r="F17" s="18"/>
      <c r="G17" s="102"/>
      <c r="H17" s="19"/>
      <c r="I17" s="19"/>
      <c r="J17" s="18"/>
      <c r="K17" s="18"/>
      <c r="L17" s="18"/>
      <c r="M17" s="25"/>
      <c r="N17" s="18"/>
      <c r="O17" s="18"/>
      <c r="P17" s="18"/>
      <c r="Q17" s="18"/>
      <c r="R17" s="18"/>
      <c r="S17" s="26">
        <f>SUM(D17:R17)</f>
        <v>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21" customFormat="1" x14ac:dyDescent="0.25">
      <c r="A18" s="22"/>
      <c r="B18" s="23"/>
      <c r="C18" s="31"/>
      <c r="D18" s="35"/>
      <c r="E18" s="18"/>
      <c r="F18" s="33"/>
      <c r="G18" s="18"/>
      <c r="H18" s="29"/>
      <c r="I18" s="19"/>
      <c r="J18" s="18"/>
      <c r="K18" s="18"/>
      <c r="L18" s="18"/>
      <c r="M18" s="25"/>
      <c r="N18" s="18"/>
      <c r="O18" s="18"/>
      <c r="P18" s="18"/>
      <c r="Q18" s="19"/>
      <c r="R18" s="18"/>
      <c r="S18" s="26">
        <f>SUM(D18:R18)</f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21" customFormat="1" ht="15.75" thickBot="1" x14ac:dyDescent="0.3">
      <c r="A19" s="38"/>
      <c r="B19" s="39"/>
      <c r="C19" s="40"/>
      <c r="D19" s="155"/>
      <c r="E19" s="42"/>
      <c r="F19" s="43"/>
      <c r="G19" s="42"/>
      <c r="H19" s="44"/>
      <c r="I19" s="42"/>
      <c r="J19" s="42"/>
      <c r="K19" s="42"/>
      <c r="L19" s="42"/>
      <c r="M19" s="45"/>
      <c r="N19" s="42"/>
      <c r="O19" s="42"/>
      <c r="P19" s="42"/>
      <c r="Q19" s="42"/>
      <c r="R19" s="42"/>
      <c r="S19" s="46">
        <f>SUM(D19:R19)</f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2" customFormat="1" x14ac:dyDescent="0.25">
      <c r="D20" s="47"/>
      <c r="E20" s="47"/>
      <c r="F20" s="48"/>
      <c r="G20" s="47"/>
      <c r="H20" s="49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50"/>
    </row>
    <row r="21" spans="1:34" s="2" customFormat="1" x14ac:dyDescent="0.25">
      <c r="F21" s="51"/>
      <c r="J21" s="47"/>
      <c r="L21" s="47"/>
      <c r="N21" s="47"/>
      <c r="O21" s="47"/>
      <c r="S21" s="50"/>
    </row>
    <row r="22" spans="1:34" x14ac:dyDescent="0.25">
      <c r="A22" s="2"/>
      <c r="B22" s="2"/>
      <c r="C22" s="2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34" s="52" customFormat="1" x14ac:dyDescent="0.25">
      <c r="A23" s="52" t="s">
        <v>34</v>
      </c>
    </row>
    <row r="24" spans="1:34" s="53" customFormat="1" x14ac:dyDescent="0.25">
      <c r="A24" s="53" t="s">
        <v>35</v>
      </c>
    </row>
  </sheetData>
  <sortState ref="B3:S19">
    <sortCondition descending="1" ref="S3"/>
  </sortState>
  <mergeCells count="1">
    <mergeCell ref="A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E13" sqref="E13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5.5703125" style="3" customWidth="1"/>
    <col min="4" max="5" width="9.140625" style="3" customWidth="1"/>
    <col min="6" max="6" width="9.140625" style="54" customWidth="1"/>
    <col min="7" max="19" width="9.140625" style="3" customWidth="1"/>
    <col min="20" max="29" width="9" style="2"/>
    <col min="30" max="255" width="9" style="3"/>
    <col min="256" max="256" width="5.140625" style="3" customWidth="1"/>
    <col min="257" max="257" width="19.85546875" style="3" customWidth="1"/>
    <col min="258" max="258" width="11.85546875" style="3" customWidth="1"/>
    <col min="259" max="275" width="9.140625" style="3" customWidth="1"/>
    <col min="276" max="511" width="9" style="3"/>
    <col min="512" max="512" width="5.140625" style="3" customWidth="1"/>
    <col min="513" max="513" width="19.85546875" style="3" customWidth="1"/>
    <col min="514" max="514" width="11.85546875" style="3" customWidth="1"/>
    <col min="515" max="531" width="9.140625" style="3" customWidth="1"/>
    <col min="532" max="767" width="9" style="3"/>
    <col min="768" max="768" width="5.140625" style="3" customWidth="1"/>
    <col min="769" max="769" width="19.85546875" style="3" customWidth="1"/>
    <col min="770" max="770" width="11.85546875" style="3" customWidth="1"/>
    <col min="771" max="787" width="9.140625" style="3" customWidth="1"/>
    <col min="788" max="1023" width="9" style="3"/>
    <col min="1024" max="1024" width="5.140625" style="3" customWidth="1"/>
    <col min="1025" max="1025" width="19.85546875" style="3" customWidth="1"/>
    <col min="1026" max="1026" width="11.85546875" style="3" customWidth="1"/>
    <col min="1027" max="1043" width="9.140625" style="3" customWidth="1"/>
    <col min="1044" max="1279" width="9" style="3"/>
    <col min="1280" max="1280" width="5.140625" style="3" customWidth="1"/>
    <col min="1281" max="1281" width="19.85546875" style="3" customWidth="1"/>
    <col min="1282" max="1282" width="11.85546875" style="3" customWidth="1"/>
    <col min="1283" max="1299" width="9.140625" style="3" customWidth="1"/>
    <col min="1300" max="1535" width="9" style="3"/>
    <col min="1536" max="1536" width="5.140625" style="3" customWidth="1"/>
    <col min="1537" max="1537" width="19.85546875" style="3" customWidth="1"/>
    <col min="1538" max="1538" width="11.85546875" style="3" customWidth="1"/>
    <col min="1539" max="1555" width="9.140625" style="3" customWidth="1"/>
    <col min="1556" max="1791" width="9" style="3"/>
    <col min="1792" max="1792" width="5.140625" style="3" customWidth="1"/>
    <col min="1793" max="1793" width="19.85546875" style="3" customWidth="1"/>
    <col min="1794" max="1794" width="11.85546875" style="3" customWidth="1"/>
    <col min="1795" max="1811" width="9.140625" style="3" customWidth="1"/>
    <col min="1812" max="2047" width="9" style="3"/>
    <col min="2048" max="2048" width="5.140625" style="3" customWidth="1"/>
    <col min="2049" max="2049" width="19.85546875" style="3" customWidth="1"/>
    <col min="2050" max="2050" width="11.85546875" style="3" customWidth="1"/>
    <col min="2051" max="2067" width="9.140625" style="3" customWidth="1"/>
    <col min="2068" max="2303" width="9" style="3"/>
    <col min="2304" max="2304" width="5.140625" style="3" customWidth="1"/>
    <col min="2305" max="2305" width="19.85546875" style="3" customWidth="1"/>
    <col min="2306" max="2306" width="11.85546875" style="3" customWidth="1"/>
    <col min="2307" max="2323" width="9.140625" style="3" customWidth="1"/>
    <col min="2324" max="2559" width="9" style="3"/>
    <col min="2560" max="2560" width="5.140625" style="3" customWidth="1"/>
    <col min="2561" max="2561" width="19.85546875" style="3" customWidth="1"/>
    <col min="2562" max="2562" width="11.85546875" style="3" customWidth="1"/>
    <col min="2563" max="2579" width="9.140625" style="3" customWidth="1"/>
    <col min="2580" max="2815" width="9" style="3"/>
    <col min="2816" max="2816" width="5.140625" style="3" customWidth="1"/>
    <col min="2817" max="2817" width="19.85546875" style="3" customWidth="1"/>
    <col min="2818" max="2818" width="11.85546875" style="3" customWidth="1"/>
    <col min="2819" max="2835" width="9.140625" style="3" customWidth="1"/>
    <col min="2836" max="3071" width="9" style="3"/>
    <col min="3072" max="3072" width="5.140625" style="3" customWidth="1"/>
    <col min="3073" max="3073" width="19.85546875" style="3" customWidth="1"/>
    <col min="3074" max="3074" width="11.85546875" style="3" customWidth="1"/>
    <col min="3075" max="3091" width="9.140625" style="3" customWidth="1"/>
    <col min="3092" max="3327" width="9" style="3"/>
    <col min="3328" max="3328" width="5.140625" style="3" customWidth="1"/>
    <col min="3329" max="3329" width="19.85546875" style="3" customWidth="1"/>
    <col min="3330" max="3330" width="11.85546875" style="3" customWidth="1"/>
    <col min="3331" max="3347" width="9.140625" style="3" customWidth="1"/>
    <col min="3348" max="3583" width="9" style="3"/>
    <col min="3584" max="3584" width="5.140625" style="3" customWidth="1"/>
    <col min="3585" max="3585" width="19.85546875" style="3" customWidth="1"/>
    <col min="3586" max="3586" width="11.85546875" style="3" customWidth="1"/>
    <col min="3587" max="3603" width="9.140625" style="3" customWidth="1"/>
    <col min="3604" max="3839" width="9" style="3"/>
    <col min="3840" max="3840" width="5.140625" style="3" customWidth="1"/>
    <col min="3841" max="3841" width="19.85546875" style="3" customWidth="1"/>
    <col min="3842" max="3842" width="11.85546875" style="3" customWidth="1"/>
    <col min="3843" max="3859" width="9.140625" style="3" customWidth="1"/>
    <col min="3860" max="4095" width="9" style="3"/>
    <col min="4096" max="4096" width="5.140625" style="3" customWidth="1"/>
    <col min="4097" max="4097" width="19.85546875" style="3" customWidth="1"/>
    <col min="4098" max="4098" width="11.85546875" style="3" customWidth="1"/>
    <col min="4099" max="4115" width="9.140625" style="3" customWidth="1"/>
    <col min="4116" max="4351" width="9" style="3"/>
    <col min="4352" max="4352" width="5.140625" style="3" customWidth="1"/>
    <col min="4353" max="4353" width="19.85546875" style="3" customWidth="1"/>
    <col min="4354" max="4354" width="11.85546875" style="3" customWidth="1"/>
    <col min="4355" max="4371" width="9.140625" style="3" customWidth="1"/>
    <col min="4372" max="4607" width="9" style="3"/>
    <col min="4608" max="4608" width="5.140625" style="3" customWidth="1"/>
    <col min="4609" max="4609" width="19.85546875" style="3" customWidth="1"/>
    <col min="4610" max="4610" width="11.85546875" style="3" customWidth="1"/>
    <col min="4611" max="4627" width="9.140625" style="3" customWidth="1"/>
    <col min="4628" max="4863" width="9" style="3"/>
    <col min="4864" max="4864" width="5.140625" style="3" customWidth="1"/>
    <col min="4865" max="4865" width="19.85546875" style="3" customWidth="1"/>
    <col min="4866" max="4866" width="11.85546875" style="3" customWidth="1"/>
    <col min="4867" max="4883" width="9.140625" style="3" customWidth="1"/>
    <col min="4884" max="5119" width="9" style="3"/>
    <col min="5120" max="5120" width="5.140625" style="3" customWidth="1"/>
    <col min="5121" max="5121" width="19.85546875" style="3" customWidth="1"/>
    <col min="5122" max="5122" width="11.85546875" style="3" customWidth="1"/>
    <col min="5123" max="5139" width="9.140625" style="3" customWidth="1"/>
    <col min="5140" max="5375" width="9" style="3"/>
    <col min="5376" max="5376" width="5.140625" style="3" customWidth="1"/>
    <col min="5377" max="5377" width="19.85546875" style="3" customWidth="1"/>
    <col min="5378" max="5378" width="11.85546875" style="3" customWidth="1"/>
    <col min="5379" max="5395" width="9.140625" style="3" customWidth="1"/>
    <col min="5396" max="5631" width="9" style="3"/>
    <col min="5632" max="5632" width="5.140625" style="3" customWidth="1"/>
    <col min="5633" max="5633" width="19.85546875" style="3" customWidth="1"/>
    <col min="5634" max="5634" width="11.85546875" style="3" customWidth="1"/>
    <col min="5635" max="5651" width="9.140625" style="3" customWidth="1"/>
    <col min="5652" max="5887" width="9" style="3"/>
    <col min="5888" max="5888" width="5.140625" style="3" customWidth="1"/>
    <col min="5889" max="5889" width="19.85546875" style="3" customWidth="1"/>
    <col min="5890" max="5890" width="11.85546875" style="3" customWidth="1"/>
    <col min="5891" max="5907" width="9.140625" style="3" customWidth="1"/>
    <col min="5908" max="6143" width="9" style="3"/>
    <col min="6144" max="6144" width="5.140625" style="3" customWidth="1"/>
    <col min="6145" max="6145" width="19.85546875" style="3" customWidth="1"/>
    <col min="6146" max="6146" width="11.85546875" style="3" customWidth="1"/>
    <col min="6147" max="6163" width="9.140625" style="3" customWidth="1"/>
    <col min="6164" max="6399" width="9" style="3"/>
    <col min="6400" max="6400" width="5.140625" style="3" customWidth="1"/>
    <col min="6401" max="6401" width="19.85546875" style="3" customWidth="1"/>
    <col min="6402" max="6402" width="11.85546875" style="3" customWidth="1"/>
    <col min="6403" max="6419" width="9.140625" style="3" customWidth="1"/>
    <col min="6420" max="6655" width="9" style="3"/>
    <col min="6656" max="6656" width="5.140625" style="3" customWidth="1"/>
    <col min="6657" max="6657" width="19.85546875" style="3" customWidth="1"/>
    <col min="6658" max="6658" width="11.85546875" style="3" customWidth="1"/>
    <col min="6659" max="6675" width="9.140625" style="3" customWidth="1"/>
    <col min="6676" max="6911" width="9" style="3"/>
    <col min="6912" max="6912" width="5.140625" style="3" customWidth="1"/>
    <col min="6913" max="6913" width="19.85546875" style="3" customWidth="1"/>
    <col min="6914" max="6914" width="11.85546875" style="3" customWidth="1"/>
    <col min="6915" max="6931" width="9.140625" style="3" customWidth="1"/>
    <col min="6932" max="7167" width="9" style="3"/>
    <col min="7168" max="7168" width="5.140625" style="3" customWidth="1"/>
    <col min="7169" max="7169" width="19.85546875" style="3" customWidth="1"/>
    <col min="7170" max="7170" width="11.85546875" style="3" customWidth="1"/>
    <col min="7171" max="7187" width="9.140625" style="3" customWidth="1"/>
    <col min="7188" max="7423" width="9" style="3"/>
    <col min="7424" max="7424" width="5.140625" style="3" customWidth="1"/>
    <col min="7425" max="7425" width="19.85546875" style="3" customWidth="1"/>
    <col min="7426" max="7426" width="11.85546875" style="3" customWidth="1"/>
    <col min="7427" max="7443" width="9.140625" style="3" customWidth="1"/>
    <col min="7444" max="7679" width="9" style="3"/>
    <col min="7680" max="7680" width="5.140625" style="3" customWidth="1"/>
    <col min="7681" max="7681" width="19.85546875" style="3" customWidth="1"/>
    <col min="7682" max="7682" width="11.85546875" style="3" customWidth="1"/>
    <col min="7683" max="7699" width="9.140625" style="3" customWidth="1"/>
    <col min="7700" max="7935" width="9" style="3"/>
    <col min="7936" max="7936" width="5.140625" style="3" customWidth="1"/>
    <col min="7937" max="7937" width="19.85546875" style="3" customWidth="1"/>
    <col min="7938" max="7938" width="11.85546875" style="3" customWidth="1"/>
    <col min="7939" max="7955" width="9.140625" style="3" customWidth="1"/>
    <col min="7956" max="8191" width="9" style="3"/>
    <col min="8192" max="8192" width="5.140625" style="3" customWidth="1"/>
    <col min="8193" max="8193" width="19.85546875" style="3" customWidth="1"/>
    <col min="8194" max="8194" width="11.85546875" style="3" customWidth="1"/>
    <col min="8195" max="8211" width="9.140625" style="3" customWidth="1"/>
    <col min="8212" max="8447" width="9" style="3"/>
    <col min="8448" max="8448" width="5.140625" style="3" customWidth="1"/>
    <col min="8449" max="8449" width="19.85546875" style="3" customWidth="1"/>
    <col min="8450" max="8450" width="11.85546875" style="3" customWidth="1"/>
    <col min="8451" max="8467" width="9.140625" style="3" customWidth="1"/>
    <col min="8468" max="8703" width="9" style="3"/>
    <col min="8704" max="8704" width="5.140625" style="3" customWidth="1"/>
    <col min="8705" max="8705" width="19.85546875" style="3" customWidth="1"/>
    <col min="8706" max="8706" width="11.85546875" style="3" customWidth="1"/>
    <col min="8707" max="8723" width="9.140625" style="3" customWidth="1"/>
    <col min="8724" max="8959" width="9" style="3"/>
    <col min="8960" max="8960" width="5.140625" style="3" customWidth="1"/>
    <col min="8961" max="8961" width="19.85546875" style="3" customWidth="1"/>
    <col min="8962" max="8962" width="11.85546875" style="3" customWidth="1"/>
    <col min="8963" max="8979" width="9.140625" style="3" customWidth="1"/>
    <col min="8980" max="9215" width="9" style="3"/>
    <col min="9216" max="9216" width="5.140625" style="3" customWidth="1"/>
    <col min="9217" max="9217" width="19.85546875" style="3" customWidth="1"/>
    <col min="9218" max="9218" width="11.85546875" style="3" customWidth="1"/>
    <col min="9219" max="9235" width="9.140625" style="3" customWidth="1"/>
    <col min="9236" max="9471" width="9" style="3"/>
    <col min="9472" max="9472" width="5.140625" style="3" customWidth="1"/>
    <col min="9473" max="9473" width="19.85546875" style="3" customWidth="1"/>
    <col min="9474" max="9474" width="11.85546875" style="3" customWidth="1"/>
    <col min="9475" max="9491" width="9.140625" style="3" customWidth="1"/>
    <col min="9492" max="9727" width="9" style="3"/>
    <col min="9728" max="9728" width="5.140625" style="3" customWidth="1"/>
    <col min="9729" max="9729" width="19.85546875" style="3" customWidth="1"/>
    <col min="9730" max="9730" width="11.85546875" style="3" customWidth="1"/>
    <col min="9731" max="9747" width="9.140625" style="3" customWidth="1"/>
    <col min="9748" max="9983" width="9" style="3"/>
    <col min="9984" max="9984" width="5.140625" style="3" customWidth="1"/>
    <col min="9985" max="9985" width="19.85546875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19.85546875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19.85546875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19.85546875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19.85546875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19.85546875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19.85546875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19.85546875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19.85546875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19.85546875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19.85546875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19.85546875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19.85546875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19.85546875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19.85546875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19.85546875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19.85546875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19.85546875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19.85546875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19.85546875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19.85546875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19.85546875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19.85546875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19.85546875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19.85546875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74" customHeight="1" thickBot="1" x14ac:dyDescent="0.3">
      <c r="A2" s="4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78" t="s">
        <v>4</v>
      </c>
      <c r="B3" s="14" t="s">
        <v>45</v>
      </c>
      <c r="C3" s="15" t="s">
        <v>21</v>
      </c>
      <c r="D3" s="25">
        <f>100-(49.9-49.9)/49.9*50</f>
        <v>100</v>
      </c>
      <c r="E3" s="25">
        <f>100-(71.78-71.78)/71.78*50</f>
        <v>100</v>
      </c>
      <c r="F3" s="143"/>
      <c r="G3" s="11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0">
        <f>SUM(D3:R3)-F3-L3-O3-P3-R3</f>
        <v>200</v>
      </c>
    </row>
    <row r="4" spans="1:21" x14ac:dyDescent="0.25">
      <c r="A4" s="22" t="s">
        <v>6</v>
      </c>
      <c r="B4" s="23" t="s">
        <v>49</v>
      </c>
      <c r="C4" s="24" t="s">
        <v>7</v>
      </c>
      <c r="D4" s="25">
        <f>100-(55.93-49.9)/49.9*50</f>
        <v>93.957915831663328</v>
      </c>
      <c r="E4" s="25">
        <f>100-(74.52-71.78)/71.78*50</f>
        <v>98.0913903594316</v>
      </c>
      <c r="F4" s="9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>
        <f>SUM(D4:R4)</f>
        <v>192.04930619109493</v>
      </c>
    </row>
    <row r="5" spans="1:21" x14ac:dyDescent="0.25">
      <c r="A5" s="22" t="s">
        <v>8</v>
      </c>
      <c r="B5" s="23" t="s">
        <v>46</v>
      </c>
      <c r="C5" s="24" t="s">
        <v>38</v>
      </c>
      <c r="D5" s="25">
        <f>100-(56.77-49.9)/49.9*50</f>
        <v>93.116232464929851</v>
      </c>
      <c r="E5" s="25">
        <f>100-(79.78-71.78)/71.78*50</f>
        <v>94.427417107829484</v>
      </c>
      <c r="F5" s="25"/>
      <c r="G5" s="25"/>
      <c r="H5" s="25"/>
      <c r="I5" s="25"/>
      <c r="J5" s="18"/>
      <c r="K5" s="18"/>
      <c r="L5" s="25"/>
      <c r="M5" s="25"/>
      <c r="N5" s="25"/>
      <c r="O5" s="25"/>
      <c r="P5" s="25"/>
      <c r="Q5" s="25"/>
      <c r="R5" s="25"/>
      <c r="S5" s="26">
        <f>SUM(D5:R5)-I5-F5-G5-M5-H5-O5-Q5-R5</f>
        <v>187.54364957275934</v>
      </c>
    </row>
    <row r="6" spans="1:21" x14ac:dyDescent="0.25">
      <c r="A6" s="22" t="s">
        <v>11</v>
      </c>
      <c r="B6" s="23" t="s">
        <v>68</v>
      </c>
      <c r="C6" s="24" t="s">
        <v>69</v>
      </c>
      <c r="D6" s="25">
        <f>100-(61.05-49.9)/49.9*50</f>
        <v>88.827655310621239</v>
      </c>
      <c r="E6" s="25">
        <f>100-(75.12-71.78)/71.78*50</f>
        <v>97.673446642518812</v>
      </c>
      <c r="F6" s="18"/>
      <c r="G6" s="25"/>
      <c r="H6" s="25"/>
      <c r="I6" s="18"/>
      <c r="J6" s="18"/>
      <c r="K6" s="18"/>
      <c r="L6" s="18"/>
      <c r="M6" s="18"/>
      <c r="N6" s="25"/>
      <c r="O6" s="25"/>
      <c r="P6" s="25"/>
      <c r="Q6" s="25"/>
      <c r="R6" s="25"/>
      <c r="S6" s="26">
        <f>SUM(D6:R6)-Q6</f>
        <v>186.50110195314005</v>
      </c>
    </row>
    <row r="7" spans="1:21" x14ac:dyDescent="0.25">
      <c r="A7" s="22" t="s">
        <v>13</v>
      </c>
      <c r="B7" s="23" t="s">
        <v>47</v>
      </c>
      <c r="C7" s="24" t="s">
        <v>48</v>
      </c>
      <c r="D7" s="25">
        <f>100-(69.78-49.9)/49.9*50</f>
        <v>80.080160320641284</v>
      </c>
      <c r="E7" s="25">
        <f>100-(77.83-71.78)/71.78*50</f>
        <v>95.785734187796038</v>
      </c>
      <c r="F7" s="69"/>
      <c r="G7" s="21"/>
      <c r="H7" s="18"/>
      <c r="I7" s="56"/>
      <c r="J7" s="18"/>
      <c r="K7" s="18"/>
      <c r="L7" s="18"/>
      <c r="M7" s="18"/>
      <c r="N7" s="18"/>
      <c r="O7" s="25"/>
      <c r="P7" s="25"/>
      <c r="Q7" s="25"/>
      <c r="R7" s="25"/>
      <c r="S7" s="26">
        <f>SUM(D7:R7)</f>
        <v>175.86589450843732</v>
      </c>
    </row>
    <row r="8" spans="1:21" x14ac:dyDescent="0.25">
      <c r="A8" s="22" t="s">
        <v>15</v>
      </c>
      <c r="B8" s="23" t="s">
        <v>51</v>
      </c>
      <c r="C8" s="24" t="s">
        <v>50</v>
      </c>
      <c r="D8" s="25">
        <f>100-(66.62-49.9)/49.9*50</f>
        <v>83.24649298597194</v>
      </c>
      <c r="E8" s="25">
        <f>100-(100.4-71.78)/71.78*50</f>
        <v>80.064084703259965</v>
      </c>
      <c r="F8" s="69"/>
      <c r="G8" s="25"/>
      <c r="H8" s="21"/>
      <c r="I8" s="25"/>
      <c r="J8" s="21"/>
      <c r="K8" s="21"/>
      <c r="L8" s="18"/>
      <c r="M8" s="19"/>
      <c r="N8" s="25"/>
      <c r="O8" s="25"/>
      <c r="P8" s="25"/>
      <c r="Q8" s="25"/>
      <c r="R8" s="21"/>
      <c r="S8" s="26">
        <f>SUM(D8:R8)</f>
        <v>163.31057768923191</v>
      </c>
    </row>
    <row r="9" spans="1:21" x14ac:dyDescent="0.25">
      <c r="A9" s="22" t="s">
        <v>18</v>
      </c>
      <c r="B9" s="23" t="s">
        <v>86</v>
      </c>
      <c r="C9" s="24" t="s">
        <v>104</v>
      </c>
      <c r="D9" s="35">
        <f>100-(51.4-49.9)/49.9*50</f>
        <v>98.496993987975955</v>
      </c>
      <c r="E9" s="18"/>
      <c r="F9" s="33"/>
      <c r="G9" s="92"/>
      <c r="H9" s="25"/>
      <c r="I9" s="18"/>
      <c r="J9" s="18"/>
      <c r="K9" s="18"/>
      <c r="L9" s="18"/>
      <c r="M9" s="102"/>
      <c r="N9" s="18"/>
      <c r="O9" s="18"/>
      <c r="P9" s="18"/>
      <c r="Q9" s="18"/>
      <c r="R9" s="18"/>
      <c r="S9" s="26">
        <f>SUM(D9:R9)</f>
        <v>98.496993987975955</v>
      </c>
    </row>
    <row r="10" spans="1:21" x14ac:dyDescent="0.25">
      <c r="A10" s="22" t="s">
        <v>20</v>
      </c>
      <c r="B10" s="23" t="s">
        <v>76</v>
      </c>
      <c r="C10" s="24" t="s">
        <v>61</v>
      </c>
      <c r="D10" s="56"/>
      <c r="E10" s="25">
        <f>100-(137.25-71.78)/71.78*50</f>
        <v>54.395374756199502</v>
      </c>
      <c r="F10" s="37"/>
      <c r="G10" s="21"/>
      <c r="H10" s="56"/>
      <c r="I10" s="25"/>
      <c r="J10" s="21"/>
      <c r="K10" s="21"/>
      <c r="L10" s="18"/>
      <c r="M10" s="18"/>
      <c r="N10" s="18"/>
      <c r="O10" s="18"/>
      <c r="P10" s="25"/>
      <c r="Q10" s="25"/>
      <c r="R10" s="56"/>
      <c r="S10" s="26">
        <f>SUM(D10:R10)</f>
        <v>54.395374756199502</v>
      </c>
    </row>
    <row r="11" spans="1:21" x14ac:dyDescent="0.25">
      <c r="A11" s="22" t="s">
        <v>22</v>
      </c>
      <c r="B11" s="93"/>
      <c r="C11" s="24"/>
      <c r="D11" s="95"/>
      <c r="E11" s="25"/>
      <c r="F11" s="25"/>
      <c r="G11" s="92"/>
      <c r="H11" s="96"/>
      <c r="I11" s="25"/>
      <c r="J11" s="18"/>
      <c r="K11" s="18"/>
      <c r="L11" s="18"/>
      <c r="M11" s="18"/>
      <c r="N11" s="96"/>
      <c r="O11" s="96"/>
      <c r="P11" s="25"/>
      <c r="Q11" s="25"/>
      <c r="R11" s="25"/>
      <c r="S11" s="26">
        <f>SUM(D11:R11)</f>
        <v>0</v>
      </c>
    </row>
    <row r="12" spans="1:21" x14ac:dyDescent="0.25">
      <c r="A12" s="22" t="s">
        <v>25</v>
      </c>
      <c r="B12" s="93"/>
      <c r="C12" s="94"/>
      <c r="D12" s="95"/>
      <c r="E12" s="56"/>
      <c r="F12" s="25"/>
      <c r="G12" s="25"/>
      <c r="H12" s="57"/>
      <c r="I12" s="25"/>
      <c r="J12" s="21"/>
      <c r="K12" s="21"/>
      <c r="L12" s="18"/>
      <c r="M12" s="18"/>
      <c r="N12" s="18"/>
      <c r="O12" s="18"/>
      <c r="P12" s="25"/>
      <c r="Q12" s="25"/>
      <c r="R12" s="25"/>
      <c r="S12" s="26">
        <f>SUM(D12:R12)</f>
        <v>0</v>
      </c>
    </row>
    <row r="13" spans="1:21" x14ac:dyDescent="0.25">
      <c r="A13" s="22" t="s">
        <v>26</v>
      </c>
      <c r="B13" s="23"/>
      <c r="C13" s="24"/>
      <c r="D13" s="34"/>
      <c r="E13" s="25"/>
      <c r="F13" s="37"/>
      <c r="G13" s="18"/>
      <c r="H13" s="21"/>
      <c r="I13" s="21"/>
      <c r="J13" s="18"/>
      <c r="K13" s="18"/>
      <c r="L13" s="25"/>
      <c r="M13" s="25"/>
      <c r="N13" s="21"/>
      <c r="O13" s="21"/>
      <c r="P13" s="21"/>
      <c r="Q13" s="21"/>
      <c r="R13" s="21"/>
      <c r="S13" s="26">
        <f>SUM(D13:R13)</f>
        <v>0</v>
      </c>
    </row>
    <row r="14" spans="1:21" ht="15.75" thickBot="1" x14ac:dyDescent="0.3">
      <c r="A14" s="38" t="s">
        <v>28</v>
      </c>
      <c r="B14" s="39"/>
      <c r="C14" s="40"/>
      <c r="D14" s="58"/>
      <c r="E14" s="42"/>
      <c r="F14" s="70"/>
      <c r="G14" s="42"/>
      <c r="H14" s="59"/>
      <c r="I14" s="59"/>
      <c r="J14" s="59"/>
      <c r="K14" s="59"/>
      <c r="L14" s="42"/>
      <c r="M14" s="42"/>
      <c r="N14" s="59"/>
      <c r="O14" s="45"/>
      <c r="P14" s="42"/>
      <c r="Q14" s="42"/>
      <c r="R14" s="59"/>
      <c r="S14" s="103">
        <f>SUM(D14:R14)</f>
        <v>0</v>
      </c>
    </row>
    <row r="15" spans="1:21" x14ac:dyDescent="0.25">
      <c r="A15" s="2"/>
      <c r="B15" s="2"/>
      <c r="C15" s="2"/>
      <c r="D15" s="2"/>
      <c r="E15" s="2"/>
      <c r="F15" s="51"/>
      <c r="G15" s="2"/>
      <c r="H15" s="2"/>
      <c r="I15" s="2"/>
      <c r="J15" s="2"/>
      <c r="K15" s="2"/>
      <c r="L15" s="2"/>
      <c r="M15" s="77"/>
      <c r="N15" s="2"/>
      <c r="O15" s="2"/>
      <c r="P15" s="2"/>
      <c r="Q15" s="2"/>
      <c r="R15" s="2"/>
      <c r="S15" s="50"/>
    </row>
    <row r="16" spans="1:21" x14ac:dyDescent="0.25">
      <c r="A16" s="2"/>
      <c r="B16" s="2"/>
      <c r="C16" s="2"/>
      <c r="D16" s="2"/>
      <c r="E16" s="2"/>
      <c r="F16" s="51"/>
      <c r="G16" s="2"/>
      <c r="H16" s="2"/>
      <c r="I16" s="2"/>
      <c r="J16" s="2"/>
      <c r="K16" s="2"/>
      <c r="L16" s="2"/>
      <c r="M16" s="2"/>
      <c r="N16" s="47"/>
      <c r="O16" s="47"/>
      <c r="P16" s="47"/>
      <c r="Q16" s="47"/>
      <c r="R16" s="2"/>
      <c r="S16" s="50"/>
    </row>
    <row r="17" spans="1:19" x14ac:dyDescent="0.25">
      <c r="A17" s="2"/>
      <c r="B17" s="2"/>
      <c r="C17" s="2"/>
      <c r="D17" s="2"/>
      <c r="E17" s="2"/>
      <c r="F17" s="5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52" customFormat="1" x14ac:dyDescent="0.25">
      <c r="A18" s="52" t="s">
        <v>34</v>
      </c>
    </row>
    <row r="19" spans="1:19" s="53" customFormat="1" x14ac:dyDescent="0.25">
      <c r="A19" s="53" t="s">
        <v>35</v>
      </c>
    </row>
  </sheetData>
  <sortState ref="B3:S14">
    <sortCondition descending="1" ref="S3"/>
  </sortState>
  <mergeCells count="1">
    <mergeCell ref="A1: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I9" sqref="I9"/>
    </sheetView>
  </sheetViews>
  <sheetFormatPr defaultColWidth="9" defaultRowHeight="15" x14ac:dyDescent="0.25"/>
  <cols>
    <col min="1" max="1" width="5.140625" style="3" customWidth="1"/>
    <col min="2" max="2" width="25.28515625" style="3" customWidth="1"/>
    <col min="3" max="3" width="11.85546875" style="3" customWidth="1"/>
    <col min="4" max="5" width="9.140625" style="3" customWidth="1"/>
    <col min="6" max="6" width="9.140625" style="54" customWidth="1"/>
    <col min="7" max="19" width="9.140625" style="3" customWidth="1"/>
    <col min="20" max="29" width="9" style="2"/>
    <col min="30" max="255" width="9" style="3"/>
    <col min="256" max="256" width="5.140625" style="3" customWidth="1"/>
    <col min="257" max="257" width="25.28515625" style="3" customWidth="1"/>
    <col min="258" max="258" width="11.85546875" style="3" customWidth="1"/>
    <col min="259" max="275" width="9.140625" style="3" customWidth="1"/>
    <col min="276" max="511" width="9" style="3"/>
    <col min="512" max="512" width="5.140625" style="3" customWidth="1"/>
    <col min="513" max="513" width="25.28515625" style="3" customWidth="1"/>
    <col min="514" max="514" width="11.85546875" style="3" customWidth="1"/>
    <col min="515" max="531" width="9.140625" style="3" customWidth="1"/>
    <col min="532" max="767" width="9" style="3"/>
    <col min="768" max="768" width="5.140625" style="3" customWidth="1"/>
    <col min="769" max="769" width="25.28515625" style="3" customWidth="1"/>
    <col min="770" max="770" width="11.85546875" style="3" customWidth="1"/>
    <col min="771" max="787" width="9.140625" style="3" customWidth="1"/>
    <col min="788" max="1023" width="9" style="3"/>
    <col min="1024" max="1024" width="5.140625" style="3" customWidth="1"/>
    <col min="1025" max="1025" width="25.28515625" style="3" customWidth="1"/>
    <col min="1026" max="1026" width="11.85546875" style="3" customWidth="1"/>
    <col min="1027" max="1043" width="9.140625" style="3" customWidth="1"/>
    <col min="1044" max="1279" width="9" style="3"/>
    <col min="1280" max="1280" width="5.140625" style="3" customWidth="1"/>
    <col min="1281" max="1281" width="25.28515625" style="3" customWidth="1"/>
    <col min="1282" max="1282" width="11.85546875" style="3" customWidth="1"/>
    <col min="1283" max="1299" width="9.140625" style="3" customWidth="1"/>
    <col min="1300" max="1535" width="9" style="3"/>
    <col min="1536" max="1536" width="5.140625" style="3" customWidth="1"/>
    <col min="1537" max="1537" width="25.28515625" style="3" customWidth="1"/>
    <col min="1538" max="1538" width="11.85546875" style="3" customWidth="1"/>
    <col min="1539" max="1555" width="9.140625" style="3" customWidth="1"/>
    <col min="1556" max="1791" width="9" style="3"/>
    <col min="1792" max="1792" width="5.140625" style="3" customWidth="1"/>
    <col min="1793" max="1793" width="25.28515625" style="3" customWidth="1"/>
    <col min="1794" max="1794" width="11.85546875" style="3" customWidth="1"/>
    <col min="1795" max="1811" width="9.140625" style="3" customWidth="1"/>
    <col min="1812" max="2047" width="9" style="3"/>
    <col min="2048" max="2048" width="5.140625" style="3" customWidth="1"/>
    <col min="2049" max="2049" width="25.28515625" style="3" customWidth="1"/>
    <col min="2050" max="2050" width="11.85546875" style="3" customWidth="1"/>
    <col min="2051" max="2067" width="9.140625" style="3" customWidth="1"/>
    <col min="2068" max="2303" width="9" style="3"/>
    <col min="2304" max="2304" width="5.140625" style="3" customWidth="1"/>
    <col min="2305" max="2305" width="25.28515625" style="3" customWidth="1"/>
    <col min="2306" max="2306" width="11.85546875" style="3" customWidth="1"/>
    <col min="2307" max="2323" width="9.140625" style="3" customWidth="1"/>
    <col min="2324" max="2559" width="9" style="3"/>
    <col min="2560" max="2560" width="5.140625" style="3" customWidth="1"/>
    <col min="2561" max="2561" width="25.28515625" style="3" customWidth="1"/>
    <col min="2562" max="2562" width="11.85546875" style="3" customWidth="1"/>
    <col min="2563" max="2579" width="9.140625" style="3" customWidth="1"/>
    <col min="2580" max="2815" width="9" style="3"/>
    <col min="2816" max="2816" width="5.140625" style="3" customWidth="1"/>
    <col min="2817" max="2817" width="25.28515625" style="3" customWidth="1"/>
    <col min="2818" max="2818" width="11.85546875" style="3" customWidth="1"/>
    <col min="2819" max="2835" width="9.140625" style="3" customWidth="1"/>
    <col min="2836" max="3071" width="9" style="3"/>
    <col min="3072" max="3072" width="5.140625" style="3" customWidth="1"/>
    <col min="3073" max="3073" width="25.28515625" style="3" customWidth="1"/>
    <col min="3074" max="3074" width="11.85546875" style="3" customWidth="1"/>
    <col min="3075" max="3091" width="9.140625" style="3" customWidth="1"/>
    <col min="3092" max="3327" width="9" style="3"/>
    <col min="3328" max="3328" width="5.140625" style="3" customWidth="1"/>
    <col min="3329" max="3329" width="25.28515625" style="3" customWidth="1"/>
    <col min="3330" max="3330" width="11.85546875" style="3" customWidth="1"/>
    <col min="3331" max="3347" width="9.140625" style="3" customWidth="1"/>
    <col min="3348" max="3583" width="9" style="3"/>
    <col min="3584" max="3584" width="5.140625" style="3" customWidth="1"/>
    <col min="3585" max="3585" width="25.28515625" style="3" customWidth="1"/>
    <col min="3586" max="3586" width="11.85546875" style="3" customWidth="1"/>
    <col min="3587" max="3603" width="9.140625" style="3" customWidth="1"/>
    <col min="3604" max="3839" width="9" style="3"/>
    <col min="3840" max="3840" width="5.140625" style="3" customWidth="1"/>
    <col min="3841" max="3841" width="25.28515625" style="3" customWidth="1"/>
    <col min="3842" max="3842" width="11.85546875" style="3" customWidth="1"/>
    <col min="3843" max="3859" width="9.140625" style="3" customWidth="1"/>
    <col min="3860" max="4095" width="9" style="3"/>
    <col min="4096" max="4096" width="5.140625" style="3" customWidth="1"/>
    <col min="4097" max="4097" width="25.28515625" style="3" customWidth="1"/>
    <col min="4098" max="4098" width="11.85546875" style="3" customWidth="1"/>
    <col min="4099" max="4115" width="9.140625" style="3" customWidth="1"/>
    <col min="4116" max="4351" width="9" style="3"/>
    <col min="4352" max="4352" width="5.140625" style="3" customWidth="1"/>
    <col min="4353" max="4353" width="25.28515625" style="3" customWidth="1"/>
    <col min="4354" max="4354" width="11.85546875" style="3" customWidth="1"/>
    <col min="4355" max="4371" width="9.140625" style="3" customWidth="1"/>
    <col min="4372" max="4607" width="9" style="3"/>
    <col min="4608" max="4608" width="5.140625" style="3" customWidth="1"/>
    <col min="4609" max="4609" width="25.28515625" style="3" customWidth="1"/>
    <col min="4610" max="4610" width="11.85546875" style="3" customWidth="1"/>
    <col min="4611" max="4627" width="9.140625" style="3" customWidth="1"/>
    <col min="4628" max="4863" width="9" style="3"/>
    <col min="4864" max="4864" width="5.140625" style="3" customWidth="1"/>
    <col min="4865" max="4865" width="25.28515625" style="3" customWidth="1"/>
    <col min="4866" max="4866" width="11.85546875" style="3" customWidth="1"/>
    <col min="4867" max="4883" width="9.140625" style="3" customWidth="1"/>
    <col min="4884" max="5119" width="9" style="3"/>
    <col min="5120" max="5120" width="5.140625" style="3" customWidth="1"/>
    <col min="5121" max="5121" width="25.28515625" style="3" customWidth="1"/>
    <col min="5122" max="5122" width="11.85546875" style="3" customWidth="1"/>
    <col min="5123" max="5139" width="9.140625" style="3" customWidth="1"/>
    <col min="5140" max="5375" width="9" style="3"/>
    <col min="5376" max="5376" width="5.140625" style="3" customWidth="1"/>
    <col min="5377" max="5377" width="25.28515625" style="3" customWidth="1"/>
    <col min="5378" max="5378" width="11.85546875" style="3" customWidth="1"/>
    <col min="5379" max="5395" width="9.140625" style="3" customWidth="1"/>
    <col min="5396" max="5631" width="9" style="3"/>
    <col min="5632" max="5632" width="5.140625" style="3" customWidth="1"/>
    <col min="5633" max="5633" width="25.28515625" style="3" customWidth="1"/>
    <col min="5634" max="5634" width="11.85546875" style="3" customWidth="1"/>
    <col min="5635" max="5651" width="9.140625" style="3" customWidth="1"/>
    <col min="5652" max="5887" width="9" style="3"/>
    <col min="5888" max="5888" width="5.140625" style="3" customWidth="1"/>
    <col min="5889" max="5889" width="25.28515625" style="3" customWidth="1"/>
    <col min="5890" max="5890" width="11.85546875" style="3" customWidth="1"/>
    <col min="5891" max="5907" width="9.140625" style="3" customWidth="1"/>
    <col min="5908" max="6143" width="9" style="3"/>
    <col min="6144" max="6144" width="5.140625" style="3" customWidth="1"/>
    <col min="6145" max="6145" width="25.28515625" style="3" customWidth="1"/>
    <col min="6146" max="6146" width="11.85546875" style="3" customWidth="1"/>
    <col min="6147" max="6163" width="9.140625" style="3" customWidth="1"/>
    <col min="6164" max="6399" width="9" style="3"/>
    <col min="6400" max="6400" width="5.140625" style="3" customWidth="1"/>
    <col min="6401" max="6401" width="25.28515625" style="3" customWidth="1"/>
    <col min="6402" max="6402" width="11.85546875" style="3" customWidth="1"/>
    <col min="6403" max="6419" width="9.140625" style="3" customWidth="1"/>
    <col min="6420" max="6655" width="9" style="3"/>
    <col min="6656" max="6656" width="5.140625" style="3" customWidth="1"/>
    <col min="6657" max="6657" width="25.28515625" style="3" customWidth="1"/>
    <col min="6658" max="6658" width="11.85546875" style="3" customWidth="1"/>
    <col min="6659" max="6675" width="9.140625" style="3" customWidth="1"/>
    <col min="6676" max="6911" width="9" style="3"/>
    <col min="6912" max="6912" width="5.140625" style="3" customWidth="1"/>
    <col min="6913" max="6913" width="25.28515625" style="3" customWidth="1"/>
    <col min="6914" max="6914" width="11.85546875" style="3" customWidth="1"/>
    <col min="6915" max="6931" width="9.140625" style="3" customWidth="1"/>
    <col min="6932" max="7167" width="9" style="3"/>
    <col min="7168" max="7168" width="5.140625" style="3" customWidth="1"/>
    <col min="7169" max="7169" width="25.28515625" style="3" customWidth="1"/>
    <col min="7170" max="7170" width="11.85546875" style="3" customWidth="1"/>
    <col min="7171" max="7187" width="9.140625" style="3" customWidth="1"/>
    <col min="7188" max="7423" width="9" style="3"/>
    <col min="7424" max="7424" width="5.140625" style="3" customWidth="1"/>
    <col min="7425" max="7425" width="25.28515625" style="3" customWidth="1"/>
    <col min="7426" max="7426" width="11.85546875" style="3" customWidth="1"/>
    <col min="7427" max="7443" width="9.140625" style="3" customWidth="1"/>
    <col min="7444" max="7679" width="9" style="3"/>
    <col min="7680" max="7680" width="5.140625" style="3" customWidth="1"/>
    <col min="7681" max="7681" width="25.28515625" style="3" customWidth="1"/>
    <col min="7682" max="7682" width="11.85546875" style="3" customWidth="1"/>
    <col min="7683" max="7699" width="9.140625" style="3" customWidth="1"/>
    <col min="7700" max="7935" width="9" style="3"/>
    <col min="7936" max="7936" width="5.140625" style="3" customWidth="1"/>
    <col min="7937" max="7937" width="25.28515625" style="3" customWidth="1"/>
    <col min="7938" max="7938" width="11.85546875" style="3" customWidth="1"/>
    <col min="7939" max="7955" width="9.140625" style="3" customWidth="1"/>
    <col min="7956" max="8191" width="9" style="3"/>
    <col min="8192" max="8192" width="5.140625" style="3" customWidth="1"/>
    <col min="8193" max="8193" width="25.28515625" style="3" customWidth="1"/>
    <col min="8194" max="8194" width="11.85546875" style="3" customWidth="1"/>
    <col min="8195" max="8211" width="9.140625" style="3" customWidth="1"/>
    <col min="8212" max="8447" width="9" style="3"/>
    <col min="8448" max="8448" width="5.140625" style="3" customWidth="1"/>
    <col min="8449" max="8449" width="25.28515625" style="3" customWidth="1"/>
    <col min="8450" max="8450" width="11.85546875" style="3" customWidth="1"/>
    <col min="8451" max="8467" width="9.140625" style="3" customWidth="1"/>
    <col min="8468" max="8703" width="9" style="3"/>
    <col min="8704" max="8704" width="5.140625" style="3" customWidth="1"/>
    <col min="8705" max="8705" width="25.28515625" style="3" customWidth="1"/>
    <col min="8706" max="8706" width="11.85546875" style="3" customWidth="1"/>
    <col min="8707" max="8723" width="9.140625" style="3" customWidth="1"/>
    <col min="8724" max="8959" width="9" style="3"/>
    <col min="8960" max="8960" width="5.140625" style="3" customWidth="1"/>
    <col min="8961" max="8961" width="25.28515625" style="3" customWidth="1"/>
    <col min="8962" max="8962" width="11.85546875" style="3" customWidth="1"/>
    <col min="8963" max="8979" width="9.140625" style="3" customWidth="1"/>
    <col min="8980" max="9215" width="9" style="3"/>
    <col min="9216" max="9216" width="5.140625" style="3" customWidth="1"/>
    <col min="9217" max="9217" width="25.28515625" style="3" customWidth="1"/>
    <col min="9218" max="9218" width="11.85546875" style="3" customWidth="1"/>
    <col min="9219" max="9235" width="9.140625" style="3" customWidth="1"/>
    <col min="9236" max="9471" width="9" style="3"/>
    <col min="9472" max="9472" width="5.140625" style="3" customWidth="1"/>
    <col min="9473" max="9473" width="25.28515625" style="3" customWidth="1"/>
    <col min="9474" max="9474" width="11.85546875" style="3" customWidth="1"/>
    <col min="9475" max="9491" width="9.140625" style="3" customWidth="1"/>
    <col min="9492" max="9727" width="9" style="3"/>
    <col min="9728" max="9728" width="5.140625" style="3" customWidth="1"/>
    <col min="9729" max="9729" width="25.28515625" style="3" customWidth="1"/>
    <col min="9730" max="9730" width="11.85546875" style="3" customWidth="1"/>
    <col min="9731" max="9747" width="9.140625" style="3" customWidth="1"/>
    <col min="9748" max="9983" width="9" style="3"/>
    <col min="9984" max="9984" width="5.140625" style="3" customWidth="1"/>
    <col min="9985" max="9985" width="25.28515625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25.28515625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25.28515625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25.28515625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25.28515625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25.28515625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25.28515625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25.28515625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25.28515625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25.28515625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25.28515625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25.28515625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25.28515625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25.28515625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25.28515625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25.28515625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25.28515625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25.28515625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25.28515625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25.28515625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25.28515625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25.28515625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25.28515625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25.28515625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25.28515625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67.25" customHeight="1" thickBot="1" x14ac:dyDescent="0.3">
      <c r="A2" s="4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78" t="s">
        <v>4</v>
      </c>
      <c r="B3" s="14" t="s">
        <v>41</v>
      </c>
      <c r="C3" s="15" t="s">
        <v>36</v>
      </c>
      <c r="D3" s="25">
        <f>100-(58.83-58.83)/58.83*50</f>
        <v>100</v>
      </c>
      <c r="E3" s="25">
        <f>100-(87.72-87.72)/87.72*50</f>
        <v>100</v>
      </c>
      <c r="F3" s="14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38"/>
      <c r="S3" s="20">
        <f>SUM(D3:R3)</f>
        <v>200</v>
      </c>
    </row>
    <row r="4" spans="1:21" x14ac:dyDescent="0.25">
      <c r="A4" s="81" t="s">
        <v>6</v>
      </c>
      <c r="B4" s="23" t="s">
        <v>64</v>
      </c>
      <c r="C4" s="24"/>
      <c r="D4" s="25">
        <f>100-(88.08-58.83)/58.83*50</f>
        <v>75.140234574196839</v>
      </c>
      <c r="E4" s="25">
        <f>100-(158.83-87.72)/87.72*50</f>
        <v>59.467624259005916</v>
      </c>
      <c r="F4" s="28"/>
      <c r="G4" s="101"/>
      <c r="H4" s="25"/>
      <c r="I4" s="25"/>
      <c r="J4" s="28"/>
      <c r="K4" s="28"/>
      <c r="L4" s="18"/>
      <c r="M4" s="18"/>
      <c r="N4" s="18"/>
      <c r="O4" s="18"/>
      <c r="P4" s="18"/>
      <c r="Q4" s="18"/>
      <c r="R4" s="139"/>
      <c r="S4" s="26">
        <f>SUM(D4:R4)-J4</f>
        <v>134.60785883320276</v>
      </c>
    </row>
    <row r="5" spans="1:21" x14ac:dyDescent="0.25">
      <c r="A5" s="81" t="s">
        <v>8</v>
      </c>
      <c r="B5" s="23" t="s">
        <v>119</v>
      </c>
      <c r="C5" s="24" t="s">
        <v>93</v>
      </c>
      <c r="D5" s="25">
        <f>100-(77.5-58.83)/58.83*50</f>
        <v>84.132245453000166</v>
      </c>
      <c r="E5" s="18"/>
      <c r="F5" s="18"/>
      <c r="G5" s="18"/>
      <c r="H5" s="75"/>
      <c r="I5" s="75"/>
      <c r="J5" s="28"/>
      <c r="K5" s="28"/>
      <c r="L5" s="25"/>
      <c r="M5" s="25"/>
      <c r="N5" s="101"/>
      <c r="O5" s="18"/>
      <c r="P5" s="18"/>
      <c r="Q5" s="18"/>
      <c r="R5" s="139"/>
      <c r="S5" s="26">
        <f>SUM(D5:R5)</f>
        <v>84.132245453000166</v>
      </c>
    </row>
    <row r="6" spans="1:21" x14ac:dyDescent="0.25">
      <c r="A6" s="81" t="s">
        <v>11</v>
      </c>
      <c r="B6" s="23" t="s">
        <v>120</v>
      </c>
      <c r="C6" s="24"/>
      <c r="D6" s="25">
        <f>100-(79.13-58.83)/58.83*50</f>
        <v>82.74689784123747</v>
      </c>
      <c r="E6" s="68" t="s">
        <v>12</v>
      </c>
      <c r="F6" s="69"/>
      <c r="G6" s="25"/>
      <c r="H6" s="21"/>
      <c r="I6" s="21"/>
      <c r="J6" s="75"/>
      <c r="K6" s="21"/>
      <c r="L6" s="21"/>
      <c r="M6" s="18"/>
      <c r="N6" s="21"/>
      <c r="O6" s="21"/>
      <c r="P6" s="21"/>
      <c r="Q6" s="18"/>
      <c r="R6" s="139"/>
      <c r="S6" s="26">
        <f>SUM(D6:R6)</f>
        <v>82.74689784123747</v>
      </c>
    </row>
    <row r="7" spans="1:21" x14ac:dyDescent="0.25">
      <c r="A7" s="81" t="s">
        <v>13</v>
      </c>
      <c r="B7" s="23"/>
      <c r="C7" s="24"/>
      <c r="D7" s="23"/>
      <c r="E7" s="21"/>
      <c r="F7" s="25"/>
      <c r="G7" s="25"/>
      <c r="H7" s="25"/>
      <c r="I7" s="18"/>
      <c r="J7" s="28"/>
      <c r="K7" s="28"/>
      <c r="L7" s="18"/>
      <c r="M7" s="21"/>
      <c r="N7" s="21"/>
      <c r="O7" s="21"/>
      <c r="P7" s="21"/>
      <c r="Q7" s="21"/>
      <c r="R7" s="24"/>
      <c r="S7" s="26">
        <f>SUM(D7:R7)</f>
        <v>0</v>
      </c>
    </row>
    <row r="8" spans="1:21" x14ac:dyDescent="0.25">
      <c r="A8" s="81" t="s">
        <v>15</v>
      </c>
      <c r="B8" s="23"/>
      <c r="C8" s="24"/>
      <c r="D8" s="23"/>
      <c r="E8" s="18"/>
      <c r="F8" s="33"/>
      <c r="G8" s="92"/>
      <c r="H8" s="18"/>
      <c r="I8" s="18"/>
      <c r="J8" s="28"/>
      <c r="K8" s="28"/>
      <c r="L8" s="18"/>
      <c r="M8" s="18"/>
      <c r="N8" s="18"/>
      <c r="O8" s="18"/>
      <c r="P8" s="18"/>
      <c r="Q8" s="18"/>
      <c r="R8" s="139"/>
      <c r="S8" s="26">
        <f>SUM(D8:R8)</f>
        <v>0</v>
      </c>
    </row>
    <row r="9" spans="1:21" x14ac:dyDescent="0.25">
      <c r="A9" s="81" t="s">
        <v>18</v>
      </c>
      <c r="B9" s="23"/>
      <c r="C9" s="24"/>
      <c r="D9" s="23"/>
      <c r="E9" s="18"/>
      <c r="F9" s="33"/>
      <c r="G9" s="92"/>
      <c r="H9" s="25"/>
      <c r="I9" s="18"/>
      <c r="J9" s="18"/>
      <c r="K9" s="25"/>
      <c r="L9" s="18"/>
      <c r="M9" s="18"/>
      <c r="N9" s="18"/>
      <c r="O9" s="18"/>
      <c r="P9" s="18"/>
      <c r="Q9" s="18"/>
      <c r="R9" s="139"/>
      <c r="S9" s="26">
        <f>SUM(D9:R9)</f>
        <v>0</v>
      </c>
    </row>
    <row r="10" spans="1:21" x14ac:dyDescent="0.25">
      <c r="A10" s="81" t="s">
        <v>20</v>
      </c>
      <c r="B10" s="23"/>
      <c r="C10" s="24"/>
      <c r="D10" s="23"/>
      <c r="E10" s="21"/>
      <c r="F10" s="18"/>
      <c r="G10" s="25"/>
      <c r="H10" s="25"/>
      <c r="I10" s="18"/>
      <c r="J10" s="18"/>
      <c r="K10" s="56"/>
      <c r="L10" s="18"/>
      <c r="M10" s="18"/>
      <c r="N10" s="18"/>
      <c r="O10" s="18"/>
      <c r="P10" s="18"/>
      <c r="Q10" s="18"/>
      <c r="R10" s="24"/>
      <c r="S10" s="26">
        <f>SUM(D10:R10)</f>
        <v>0</v>
      </c>
    </row>
    <row r="11" spans="1:21" ht="15.75" thickBot="1" x14ac:dyDescent="0.3">
      <c r="A11" s="82" t="s">
        <v>20</v>
      </c>
      <c r="B11" s="39"/>
      <c r="C11" s="40"/>
      <c r="D11" s="129"/>
      <c r="E11" s="42"/>
      <c r="F11" s="43"/>
      <c r="G11" s="89"/>
      <c r="H11" s="42"/>
      <c r="I11" s="42"/>
      <c r="J11" s="42"/>
      <c r="K11" s="45"/>
      <c r="L11" s="42"/>
      <c r="M11" s="42"/>
      <c r="N11" s="42"/>
      <c r="O11" s="42"/>
      <c r="P11" s="42"/>
      <c r="Q11" s="42"/>
      <c r="R11" s="140"/>
      <c r="S11" s="46">
        <f>SUM(D11:R11)</f>
        <v>0</v>
      </c>
    </row>
    <row r="12" spans="1:21" x14ac:dyDescent="0.25">
      <c r="A12" s="2"/>
      <c r="B12" s="2"/>
      <c r="C12" s="2"/>
      <c r="D12" s="2"/>
      <c r="E12" s="2"/>
      <c r="F12" s="51"/>
      <c r="G12" s="2"/>
      <c r="H12" s="2"/>
      <c r="I12" s="2"/>
      <c r="J12" s="2"/>
      <c r="K12" s="2"/>
      <c r="L12" s="2"/>
      <c r="M12" s="77"/>
      <c r="N12" s="2"/>
      <c r="O12" s="2"/>
      <c r="P12" s="2"/>
      <c r="Q12" s="2"/>
      <c r="R12" s="2"/>
      <c r="S12" s="50"/>
    </row>
    <row r="13" spans="1:21" x14ac:dyDescent="0.25">
      <c r="A13" s="2"/>
      <c r="B13" s="2"/>
      <c r="C13" s="2"/>
      <c r="D13" s="2"/>
      <c r="E13" s="2"/>
      <c r="F13" s="51"/>
      <c r="G13" s="2"/>
      <c r="H13" s="2"/>
      <c r="I13" s="2"/>
      <c r="J13" s="2"/>
      <c r="K13" s="2"/>
      <c r="L13" s="2"/>
      <c r="M13" s="2"/>
      <c r="N13" s="47"/>
      <c r="O13" s="47"/>
      <c r="P13" s="47"/>
      <c r="Q13" s="47"/>
      <c r="R13" s="2"/>
      <c r="S13" s="50"/>
    </row>
    <row r="14" spans="1:21" x14ac:dyDescent="0.25">
      <c r="A14" s="2"/>
      <c r="B14" s="2"/>
      <c r="C14" s="2"/>
      <c r="D14" s="2"/>
      <c r="E14" s="2"/>
      <c r="F14" s="5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1" s="52" customFormat="1" x14ac:dyDescent="0.25">
      <c r="A15" s="52" t="s">
        <v>34</v>
      </c>
    </row>
    <row r="16" spans="1:21" s="53" customFormat="1" x14ac:dyDescent="0.25">
      <c r="A16" s="53" t="s">
        <v>35</v>
      </c>
    </row>
  </sheetData>
  <sortState ref="B3:S11">
    <sortCondition descending="1" ref="S3"/>
  </sortState>
  <mergeCells count="1">
    <mergeCell ref="A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E20" sqref="E20"/>
    </sheetView>
  </sheetViews>
  <sheetFormatPr defaultColWidth="9" defaultRowHeight="15" x14ac:dyDescent="0.25"/>
  <cols>
    <col min="1" max="1" width="4.85546875" style="3" customWidth="1"/>
    <col min="2" max="2" width="17.85546875" style="3" customWidth="1"/>
    <col min="3" max="3" width="18.140625" style="3" customWidth="1"/>
    <col min="4" max="5" width="9.140625" style="3" customWidth="1"/>
    <col min="6" max="6" width="9.140625" style="54" customWidth="1"/>
    <col min="7" max="19" width="9.140625" style="3" customWidth="1"/>
    <col min="20" max="22" width="9" style="2"/>
    <col min="23" max="255" width="9" style="3"/>
    <col min="256" max="256" width="4.85546875" style="3" customWidth="1"/>
    <col min="257" max="257" width="17.85546875" style="3" customWidth="1"/>
    <col min="258" max="258" width="18.140625" style="3" customWidth="1"/>
    <col min="259" max="275" width="9.140625" style="3" customWidth="1"/>
    <col min="276" max="511" width="9" style="3"/>
    <col min="512" max="512" width="4.85546875" style="3" customWidth="1"/>
    <col min="513" max="513" width="17.85546875" style="3" customWidth="1"/>
    <col min="514" max="514" width="18.140625" style="3" customWidth="1"/>
    <col min="515" max="531" width="9.140625" style="3" customWidth="1"/>
    <col min="532" max="767" width="9" style="3"/>
    <col min="768" max="768" width="4.85546875" style="3" customWidth="1"/>
    <col min="769" max="769" width="17.85546875" style="3" customWidth="1"/>
    <col min="770" max="770" width="18.140625" style="3" customWidth="1"/>
    <col min="771" max="787" width="9.140625" style="3" customWidth="1"/>
    <col min="788" max="1023" width="9" style="3"/>
    <col min="1024" max="1024" width="4.85546875" style="3" customWidth="1"/>
    <col min="1025" max="1025" width="17.85546875" style="3" customWidth="1"/>
    <col min="1026" max="1026" width="18.140625" style="3" customWidth="1"/>
    <col min="1027" max="1043" width="9.140625" style="3" customWidth="1"/>
    <col min="1044" max="1279" width="9" style="3"/>
    <col min="1280" max="1280" width="4.85546875" style="3" customWidth="1"/>
    <col min="1281" max="1281" width="17.85546875" style="3" customWidth="1"/>
    <col min="1282" max="1282" width="18.140625" style="3" customWidth="1"/>
    <col min="1283" max="1299" width="9.140625" style="3" customWidth="1"/>
    <col min="1300" max="1535" width="9" style="3"/>
    <col min="1536" max="1536" width="4.85546875" style="3" customWidth="1"/>
    <col min="1537" max="1537" width="17.85546875" style="3" customWidth="1"/>
    <col min="1538" max="1538" width="18.140625" style="3" customWidth="1"/>
    <col min="1539" max="1555" width="9.140625" style="3" customWidth="1"/>
    <col min="1556" max="1791" width="9" style="3"/>
    <col min="1792" max="1792" width="4.85546875" style="3" customWidth="1"/>
    <col min="1793" max="1793" width="17.85546875" style="3" customWidth="1"/>
    <col min="1794" max="1794" width="18.140625" style="3" customWidth="1"/>
    <col min="1795" max="1811" width="9.140625" style="3" customWidth="1"/>
    <col min="1812" max="2047" width="9" style="3"/>
    <col min="2048" max="2048" width="4.85546875" style="3" customWidth="1"/>
    <col min="2049" max="2049" width="17.85546875" style="3" customWidth="1"/>
    <col min="2050" max="2050" width="18.140625" style="3" customWidth="1"/>
    <col min="2051" max="2067" width="9.140625" style="3" customWidth="1"/>
    <col min="2068" max="2303" width="9" style="3"/>
    <col min="2304" max="2304" width="4.85546875" style="3" customWidth="1"/>
    <col min="2305" max="2305" width="17.85546875" style="3" customWidth="1"/>
    <col min="2306" max="2306" width="18.140625" style="3" customWidth="1"/>
    <col min="2307" max="2323" width="9.140625" style="3" customWidth="1"/>
    <col min="2324" max="2559" width="9" style="3"/>
    <col min="2560" max="2560" width="4.85546875" style="3" customWidth="1"/>
    <col min="2561" max="2561" width="17.85546875" style="3" customWidth="1"/>
    <col min="2562" max="2562" width="18.140625" style="3" customWidth="1"/>
    <col min="2563" max="2579" width="9.140625" style="3" customWidth="1"/>
    <col min="2580" max="2815" width="9" style="3"/>
    <col min="2816" max="2816" width="4.85546875" style="3" customWidth="1"/>
    <col min="2817" max="2817" width="17.85546875" style="3" customWidth="1"/>
    <col min="2818" max="2818" width="18.140625" style="3" customWidth="1"/>
    <col min="2819" max="2835" width="9.140625" style="3" customWidth="1"/>
    <col min="2836" max="3071" width="9" style="3"/>
    <col min="3072" max="3072" width="4.85546875" style="3" customWidth="1"/>
    <col min="3073" max="3073" width="17.85546875" style="3" customWidth="1"/>
    <col min="3074" max="3074" width="18.140625" style="3" customWidth="1"/>
    <col min="3075" max="3091" width="9.140625" style="3" customWidth="1"/>
    <col min="3092" max="3327" width="9" style="3"/>
    <col min="3328" max="3328" width="4.85546875" style="3" customWidth="1"/>
    <col min="3329" max="3329" width="17.85546875" style="3" customWidth="1"/>
    <col min="3330" max="3330" width="18.140625" style="3" customWidth="1"/>
    <col min="3331" max="3347" width="9.140625" style="3" customWidth="1"/>
    <col min="3348" max="3583" width="9" style="3"/>
    <col min="3584" max="3584" width="4.85546875" style="3" customWidth="1"/>
    <col min="3585" max="3585" width="17.85546875" style="3" customWidth="1"/>
    <col min="3586" max="3586" width="18.140625" style="3" customWidth="1"/>
    <col min="3587" max="3603" width="9.140625" style="3" customWidth="1"/>
    <col min="3604" max="3839" width="9" style="3"/>
    <col min="3840" max="3840" width="4.85546875" style="3" customWidth="1"/>
    <col min="3841" max="3841" width="17.85546875" style="3" customWidth="1"/>
    <col min="3842" max="3842" width="18.140625" style="3" customWidth="1"/>
    <col min="3843" max="3859" width="9.140625" style="3" customWidth="1"/>
    <col min="3860" max="4095" width="9" style="3"/>
    <col min="4096" max="4096" width="4.85546875" style="3" customWidth="1"/>
    <col min="4097" max="4097" width="17.85546875" style="3" customWidth="1"/>
    <col min="4098" max="4098" width="18.140625" style="3" customWidth="1"/>
    <col min="4099" max="4115" width="9.140625" style="3" customWidth="1"/>
    <col min="4116" max="4351" width="9" style="3"/>
    <col min="4352" max="4352" width="4.85546875" style="3" customWidth="1"/>
    <col min="4353" max="4353" width="17.85546875" style="3" customWidth="1"/>
    <col min="4354" max="4354" width="18.140625" style="3" customWidth="1"/>
    <col min="4355" max="4371" width="9.140625" style="3" customWidth="1"/>
    <col min="4372" max="4607" width="9" style="3"/>
    <col min="4608" max="4608" width="4.85546875" style="3" customWidth="1"/>
    <col min="4609" max="4609" width="17.85546875" style="3" customWidth="1"/>
    <col min="4610" max="4610" width="18.140625" style="3" customWidth="1"/>
    <col min="4611" max="4627" width="9.140625" style="3" customWidth="1"/>
    <col min="4628" max="4863" width="9" style="3"/>
    <col min="4864" max="4864" width="4.85546875" style="3" customWidth="1"/>
    <col min="4865" max="4865" width="17.85546875" style="3" customWidth="1"/>
    <col min="4866" max="4866" width="18.140625" style="3" customWidth="1"/>
    <col min="4867" max="4883" width="9.140625" style="3" customWidth="1"/>
    <col min="4884" max="5119" width="9" style="3"/>
    <col min="5120" max="5120" width="4.85546875" style="3" customWidth="1"/>
    <col min="5121" max="5121" width="17.85546875" style="3" customWidth="1"/>
    <col min="5122" max="5122" width="18.140625" style="3" customWidth="1"/>
    <col min="5123" max="5139" width="9.140625" style="3" customWidth="1"/>
    <col min="5140" max="5375" width="9" style="3"/>
    <col min="5376" max="5376" width="4.85546875" style="3" customWidth="1"/>
    <col min="5377" max="5377" width="17.85546875" style="3" customWidth="1"/>
    <col min="5378" max="5378" width="18.140625" style="3" customWidth="1"/>
    <col min="5379" max="5395" width="9.140625" style="3" customWidth="1"/>
    <col min="5396" max="5631" width="9" style="3"/>
    <col min="5632" max="5632" width="4.85546875" style="3" customWidth="1"/>
    <col min="5633" max="5633" width="17.85546875" style="3" customWidth="1"/>
    <col min="5634" max="5634" width="18.140625" style="3" customWidth="1"/>
    <col min="5635" max="5651" width="9.140625" style="3" customWidth="1"/>
    <col min="5652" max="5887" width="9" style="3"/>
    <col min="5888" max="5888" width="4.85546875" style="3" customWidth="1"/>
    <col min="5889" max="5889" width="17.85546875" style="3" customWidth="1"/>
    <col min="5890" max="5890" width="18.140625" style="3" customWidth="1"/>
    <col min="5891" max="5907" width="9.140625" style="3" customWidth="1"/>
    <col min="5908" max="6143" width="9" style="3"/>
    <col min="6144" max="6144" width="4.85546875" style="3" customWidth="1"/>
    <col min="6145" max="6145" width="17.85546875" style="3" customWidth="1"/>
    <col min="6146" max="6146" width="18.140625" style="3" customWidth="1"/>
    <col min="6147" max="6163" width="9.140625" style="3" customWidth="1"/>
    <col min="6164" max="6399" width="9" style="3"/>
    <col min="6400" max="6400" width="4.85546875" style="3" customWidth="1"/>
    <col min="6401" max="6401" width="17.85546875" style="3" customWidth="1"/>
    <col min="6402" max="6402" width="18.140625" style="3" customWidth="1"/>
    <col min="6403" max="6419" width="9.140625" style="3" customWidth="1"/>
    <col min="6420" max="6655" width="9" style="3"/>
    <col min="6656" max="6656" width="4.85546875" style="3" customWidth="1"/>
    <col min="6657" max="6657" width="17.85546875" style="3" customWidth="1"/>
    <col min="6658" max="6658" width="18.140625" style="3" customWidth="1"/>
    <col min="6659" max="6675" width="9.140625" style="3" customWidth="1"/>
    <col min="6676" max="6911" width="9" style="3"/>
    <col min="6912" max="6912" width="4.85546875" style="3" customWidth="1"/>
    <col min="6913" max="6913" width="17.85546875" style="3" customWidth="1"/>
    <col min="6914" max="6914" width="18.140625" style="3" customWidth="1"/>
    <col min="6915" max="6931" width="9.140625" style="3" customWidth="1"/>
    <col min="6932" max="7167" width="9" style="3"/>
    <col min="7168" max="7168" width="4.85546875" style="3" customWidth="1"/>
    <col min="7169" max="7169" width="17.85546875" style="3" customWidth="1"/>
    <col min="7170" max="7170" width="18.140625" style="3" customWidth="1"/>
    <col min="7171" max="7187" width="9.140625" style="3" customWidth="1"/>
    <col min="7188" max="7423" width="9" style="3"/>
    <col min="7424" max="7424" width="4.85546875" style="3" customWidth="1"/>
    <col min="7425" max="7425" width="17.85546875" style="3" customWidth="1"/>
    <col min="7426" max="7426" width="18.140625" style="3" customWidth="1"/>
    <col min="7427" max="7443" width="9.140625" style="3" customWidth="1"/>
    <col min="7444" max="7679" width="9" style="3"/>
    <col min="7680" max="7680" width="4.85546875" style="3" customWidth="1"/>
    <col min="7681" max="7681" width="17.85546875" style="3" customWidth="1"/>
    <col min="7682" max="7682" width="18.140625" style="3" customWidth="1"/>
    <col min="7683" max="7699" width="9.140625" style="3" customWidth="1"/>
    <col min="7700" max="7935" width="9" style="3"/>
    <col min="7936" max="7936" width="4.85546875" style="3" customWidth="1"/>
    <col min="7937" max="7937" width="17.85546875" style="3" customWidth="1"/>
    <col min="7938" max="7938" width="18.140625" style="3" customWidth="1"/>
    <col min="7939" max="7955" width="9.140625" style="3" customWidth="1"/>
    <col min="7956" max="8191" width="9" style="3"/>
    <col min="8192" max="8192" width="4.85546875" style="3" customWidth="1"/>
    <col min="8193" max="8193" width="17.85546875" style="3" customWidth="1"/>
    <col min="8194" max="8194" width="18.140625" style="3" customWidth="1"/>
    <col min="8195" max="8211" width="9.140625" style="3" customWidth="1"/>
    <col min="8212" max="8447" width="9" style="3"/>
    <col min="8448" max="8448" width="4.85546875" style="3" customWidth="1"/>
    <col min="8449" max="8449" width="17.85546875" style="3" customWidth="1"/>
    <col min="8450" max="8450" width="18.140625" style="3" customWidth="1"/>
    <col min="8451" max="8467" width="9.140625" style="3" customWidth="1"/>
    <col min="8468" max="8703" width="9" style="3"/>
    <col min="8704" max="8704" width="4.85546875" style="3" customWidth="1"/>
    <col min="8705" max="8705" width="17.85546875" style="3" customWidth="1"/>
    <col min="8706" max="8706" width="18.140625" style="3" customWidth="1"/>
    <col min="8707" max="8723" width="9.140625" style="3" customWidth="1"/>
    <col min="8724" max="8959" width="9" style="3"/>
    <col min="8960" max="8960" width="4.85546875" style="3" customWidth="1"/>
    <col min="8961" max="8961" width="17.85546875" style="3" customWidth="1"/>
    <col min="8962" max="8962" width="18.140625" style="3" customWidth="1"/>
    <col min="8963" max="8979" width="9.140625" style="3" customWidth="1"/>
    <col min="8980" max="9215" width="9" style="3"/>
    <col min="9216" max="9216" width="4.85546875" style="3" customWidth="1"/>
    <col min="9217" max="9217" width="17.85546875" style="3" customWidth="1"/>
    <col min="9218" max="9218" width="18.140625" style="3" customWidth="1"/>
    <col min="9219" max="9235" width="9.140625" style="3" customWidth="1"/>
    <col min="9236" max="9471" width="9" style="3"/>
    <col min="9472" max="9472" width="4.85546875" style="3" customWidth="1"/>
    <col min="9473" max="9473" width="17.85546875" style="3" customWidth="1"/>
    <col min="9474" max="9474" width="18.140625" style="3" customWidth="1"/>
    <col min="9475" max="9491" width="9.140625" style="3" customWidth="1"/>
    <col min="9492" max="9727" width="9" style="3"/>
    <col min="9728" max="9728" width="4.85546875" style="3" customWidth="1"/>
    <col min="9729" max="9729" width="17.85546875" style="3" customWidth="1"/>
    <col min="9730" max="9730" width="18.140625" style="3" customWidth="1"/>
    <col min="9731" max="9747" width="9.140625" style="3" customWidth="1"/>
    <col min="9748" max="9983" width="9" style="3"/>
    <col min="9984" max="9984" width="4.85546875" style="3" customWidth="1"/>
    <col min="9985" max="9985" width="17.85546875" style="3" customWidth="1"/>
    <col min="9986" max="9986" width="18.140625" style="3" customWidth="1"/>
    <col min="9987" max="10003" width="9.140625" style="3" customWidth="1"/>
    <col min="10004" max="10239" width="9" style="3"/>
    <col min="10240" max="10240" width="4.85546875" style="3" customWidth="1"/>
    <col min="10241" max="10241" width="17.85546875" style="3" customWidth="1"/>
    <col min="10242" max="10242" width="18.140625" style="3" customWidth="1"/>
    <col min="10243" max="10259" width="9.140625" style="3" customWidth="1"/>
    <col min="10260" max="10495" width="9" style="3"/>
    <col min="10496" max="10496" width="4.85546875" style="3" customWidth="1"/>
    <col min="10497" max="10497" width="17.85546875" style="3" customWidth="1"/>
    <col min="10498" max="10498" width="18.140625" style="3" customWidth="1"/>
    <col min="10499" max="10515" width="9.140625" style="3" customWidth="1"/>
    <col min="10516" max="10751" width="9" style="3"/>
    <col min="10752" max="10752" width="4.85546875" style="3" customWidth="1"/>
    <col min="10753" max="10753" width="17.85546875" style="3" customWidth="1"/>
    <col min="10754" max="10754" width="18.140625" style="3" customWidth="1"/>
    <col min="10755" max="10771" width="9.140625" style="3" customWidth="1"/>
    <col min="10772" max="11007" width="9" style="3"/>
    <col min="11008" max="11008" width="4.85546875" style="3" customWidth="1"/>
    <col min="11009" max="11009" width="17.85546875" style="3" customWidth="1"/>
    <col min="11010" max="11010" width="18.140625" style="3" customWidth="1"/>
    <col min="11011" max="11027" width="9.140625" style="3" customWidth="1"/>
    <col min="11028" max="11263" width="9" style="3"/>
    <col min="11264" max="11264" width="4.85546875" style="3" customWidth="1"/>
    <col min="11265" max="11265" width="17.85546875" style="3" customWidth="1"/>
    <col min="11266" max="11266" width="18.140625" style="3" customWidth="1"/>
    <col min="11267" max="11283" width="9.140625" style="3" customWidth="1"/>
    <col min="11284" max="11519" width="9" style="3"/>
    <col min="11520" max="11520" width="4.85546875" style="3" customWidth="1"/>
    <col min="11521" max="11521" width="17.85546875" style="3" customWidth="1"/>
    <col min="11522" max="11522" width="18.140625" style="3" customWidth="1"/>
    <col min="11523" max="11539" width="9.140625" style="3" customWidth="1"/>
    <col min="11540" max="11775" width="9" style="3"/>
    <col min="11776" max="11776" width="4.85546875" style="3" customWidth="1"/>
    <col min="11777" max="11777" width="17.85546875" style="3" customWidth="1"/>
    <col min="11778" max="11778" width="18.140625" style="3" customWidth="1"/>
    <col min="11779" max="11795" width="9.140625" style="3" customWidth="1"/>
    <col min="11796" max="12031" width="9" style="3"/>
    <col min="12032" max="12032" width="4.85546875" style="3" customWidth="1"/>
    <col min="12033" max="12033" width="17.85546875" style="3" customWidth="1"/>
    <col min="12034" max="12034" width="18.140625" style="3" customWidth="1"/>
    <col min="12035" max="12051" width="9.140625" style="3" customWidth="1"/>
    <col min="12052" max="12287" width="9" style="3"/>
    <col min="12288" max="12288" width="4.85546875" style="3" customWidth="1"/>
    <col min="12289" max="12289" width="17.85546875" style="3" customWidth="1"/>
    <col min="12290" max="12290" width="18.140625" style="3" customWidth="1"/>
    <col min="12291" max="12307" width="9.140625" style="3" customWidth="1"/>
    <col min="12308" max="12543" width="9" style="3"/>
    <col min="12544" max="12544" width="4.85546875" style="3" customWidth="1"/>
    <col min="12545" max="12545" width="17.85546875" style="3" customWidth="1"/>
    <col min="12546" max="12546" width="18.140625" style="3" customWidth="1"/>
    <col min="12547" max="12563" width="9.140625" style="3" customWidth="1"/>
    <col min="12564" max="12799" width="9" style="3"/>
    <col min="12800" max="12800" width="4.85546875" style="3" customWidth="1"/>
    <col min="12801" max="12801" width="17.85546875" style="3" customWidth="1"/>
    <col min="12802" max="12802" width="18.140625" style="3" customWidth="1"/>
    <col min="12803" max="12819" width="9.140625" style="3" customWidth="1"/>
    <col min="12820" max="13055" width="9" style="3"/>
    <col min="13056" max="13056" width="4.85546875" style="3" customWidth="1"/>
    <col min="13057" max="13057" width="17.85546875" style="3" customWidth="1"/>
    <col min="13058" max="13058" width="18.140625" style="3" customWidth="1"/>
    <col min="13059" max="13075" width="9.140625" style="3" customWidth="1"/>
    <col min="13076" max="13311" width="9" style="3"/>
    <col min="13312" max="13312" width="4.85546875" style="3" customWidth="1"/>
    <col min="13313" max="13313" width="17.85546875" style="3" customWidth="1"/>
    <col min="13314" max="13314" width="18.140625" style="3" customWidth="1"/>
    <col min="13315" max="13331" width="9.140625" style="3" customWidth="1"/>
    <col min="13332" max="13567" width="9" style="3"/>
    <col min="13568" max="13568" width="4.85546875" style="3" customWidth="1"/>
    <col min="13569" max="13569" width="17.85546875" style="3" customWidth="1"/>
    <col min="13570" max="13570" width="18.140625" style="3" customWidth="1"/>
    <col min="13571" max="13587" width="9.140625" style="3" customWidth="1"/>
    <col min="13588" max="13823" width="9" style="3"/>
    <col min="13824" max="13824" width="4.85546875" style="3" customWidth="1"/>
    <col min="13825" max="13825" width="17.85546875" style="3" customWidth="1"/>
    <col min="13826" max="13826" width="18.140625" style="3" customWidth="1"/>
    <col min="13827" max="13843" width="9.140625" style="3" customWidth="1"/>
    <col min="13844" max="14079" width="9" style="3"/>
    <col min="14080" max="14080" width="4.85546875" style="3" customWidth="1"/>
    <col min="14081" max="14081" width="17.85546875" style="3" customWidth="1"/>
    <col min="14082" max="14082" width="18.140625" style="3" customWidth="1"/>
    <col min="14083" max="14099" width="9.140625" style="3" customWidth="1"/>
    <col min="14100" max="14335" width="9" style="3"/>
    <col min="14336" max="14336" width="4.85546875" style="3" customWidth="1"/>
    <col min="14337" max="14337" width="17.85546875" style="3" customWidth="1"/>
    <col min="14338" max="14338" width="18.140625" style="3" customWidth="1"/>
    <col min="14339" max="14355" width="9.140625" style="3" customWidth="1"/>
    <col min="14356" max="14591" width="9" style="3"/>
    <col min="14592" max="14592" width="4.85546875" style="3" customWidth="1"/>
    <col min="14593" max="14593" width="17.85546875" style="3" customWidth="1"/>
    <col min="14594" max="14594" width="18.140625" style="3" customWidth="1"/>
    <col min="14595" max="14611" width="9.140625" style="3" customWidth="1"/>
    <col min="14612" max="14847" width="9" style="3"/>
    <col min="14848" max="14848" width="4.85546875" style="3" customWidth="1"/>
    <col min="14849" max="14849" width="17.85546875" style="3" customWidth="1"/>
    <col min="14850" max="14850" width="18.140625" style="3" customWidth="1"/>
    <col min="14851" max="14867" width="9.140625" style="3" customWidth="1"/>
    <col min="14868" max="15103" width="9" style="3"/>
    <col min="15104" max="15104" width="4.85546875" style="3" customWidth="1"/>
    <col min="15105" max="15105" width="17.85546875" style="3" customWidth="1"/>
    <col min="15106" max="15106" width="18.140625" style="3" customWidth="1"/>
    <col min="15107" max="15123" width="9.140625" style="3" customWidth="1"/>
    <col min="15124" max="15359" width="9" style="3"/>
    <col min="15360" max="15360" width="4.85546875" style="3" customWidth="1"/>
    <col min="15361" max="15361" width="17.85546875" style="3" customWidth="1"/>
    <col min="15362" max="15362" width="18.140625" style="3" customWidth="1"/>
    <col min="15363" max="15379" width="9.140625" style="3" customWidth="1"/>
    <col min="15380" max="15615" width="9" style="3"/>
    <col min="15616" max="15616" width="4.85546875" style="3" customWidth="1"/>
    <col min="15617" max="15617" width="17.85546875" style="3" customWidth="1"/>
    <col min="15618" max="15618" width="18.140625" style="3" customWidth="1"/>
    <col min="15619" max="15635" width="9.140625" style="3" customWidth="1"/>
    <col min="15636" max="15871" width="9" style="3"/>
    <col min="15872" max="15872" width="4.85546875" style="3" customWidth="1"/>
    <col min="15873" max="15873" width="17.85546875" style="3" customWidth="1"/>
    <col min="15874" max="15874" width="18.140625" style="3" customWidth="1"/>
    <col min="15875" max="15891" width="9.140625" style="3" customWidth="1"/>
    <col min="15892" max="16127" width="9" style="3"/>
    <col min="16128" max="16128" width="4.85546875" style="3" customWidth="1"/>
    <col min="16129" max="16129" width="17.85546875" style="3" customWidth="1"/>
    <col min="16130" max="16130" width="18.140625" style="3" customWidth="1"/>
    <col min="16131" max="16147" width="9.140625" style="3" customWidth="1"/>
    <col min="16148" max="16384" width="9" style="3"/>
  </cols>
  <sheetData>
    <row r="1" spans="1:22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2" ht="178.5" customHeight="1" thickBot="1" x14ac:dyDescent="0.3">
      <c r="A2" s="4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2" x14ac:dyDescent="0.25">
      <c r="A3" s="13" t="s">
        <v>4</v>
      </c>
      <c r="B3" s="14" t="s">
        <v>70</v>
      </c>
      <c r="C3" s="15" t="s">
        <v>36</v>
      </c>
      <c r="D3" s="30">
        <f>100-(60.33-60.33)/60.33*50</f>
        <v>100</v>
      </c>
      <c r="E3" s="16">
        <f>100-(76.7-76.7)/76.7*50</f>
        <v>100</v>
      </c>
      <c r="F3" s="177"/>
      <c r="G3" s="55"/>
      <c r="H3" s="16"/>
      <c r="I3" s="16"/>
      <c r="J3" s="17"/>
      <c r="K3" s="17"/>
      <c r="L3" s="178"/>
      <c r="M3" s="55"/>
      <c r="N3" s="17"/>
      <c r="O3" s="17"/>
      <c r="P3" s="17"/>
      <c r="Q3" s="18"/>
      <c r="R3" s="16"/>
      <c r="S3" s="20">
        <f>SUM(D3:R3)</f>
        <v>200</v>
      </c>
    </row>
    <row r="4" spans="1:22" x14ac:dyDescent="0.25">
      <c r="A4" s="22" t="s">
        <v>6</v>
      </c>
      <c r="B4" s="32" t="s">
        <v>106</v>
      </c>
      <c r="C4" s="31" t="s">
        <v>93</v>
      </c>
      <c r="D4" s="30">
        <f>100-(69.07-60.33)/60.33*50</f>
        <v>92.75650588430301</v>
      </c>
      <c r="E4" s="18">
        <f>100-(90.47-76.7)/76.7*50</f>
        <v>91.023468057366358</v>
      </c>
      <c r="F4" s="37"/>
      <c r="G4" s="21"/>
      <c r="H4" s="19"/>
      <c r="I4" s="35"/>
      <c r="J4" s="18"/>
      <c r="K4" s="18"/>
      <c r="L4" s="19"/>
      <c r="M4" s="19"/>
      <c r="N4" s="18"/>
      <c r="O4" s="25"/>
      <c r="P4" s="21"/>
      <c r="Q4" s="68"/>
      <c r="R4" s="18"/>
      <c r="S4" s="26">
        <f>SUM(D4:R4)</f>
        <v>183.77997394166937</v>
      </c>
    </row>
    <row r="5" spans="1:22" x14ac:dyDescent="0.25">
      <c r="A5" s="22" t="s">
        <v>8</v>
      </c>
      <c r="B5" s="23" t="s">
        <v>105</v>
      </c>
      <c r="C5" s="24"/>
      <c r="D5" s="119">
        <f>100-(66.97-60.33)/60.33*50</f>
        <v>94.496933532239353</v>
      </c>
      <c r="E5" s="18">
        <f>100-(107.68-76.7)/76.7*50</f>
        <v>79.804432855280311</v>
      </c>
      <c r="F5" s="27"/>
      <c r="G5" s="18"/>
      <c r="H5" s="19"/>
      <c r="I5" s="19"/>
      <c r="J5" s="19"/>
      <c r="K5" s="25"/>
      <c r="L5" s="18"/>
      <c r="M5" s="18"/>
      <c r="N5" s="18"/>
      <c r="O5" s="18"/>
      <c r="P5" s="18"/>
      <c r="Q5" s="18"/>
      <c r="R5" s="18"/>
      <c r="S5" s="26">
        <f>SUM(D5:R5)</f>
        <v>174.30136638751966</v>
      </c>
    </row>
    <row r="6" spans="1:22" x14ac:dyDescent="0.25">
      <c r="A6" s="22" t="s">
        <v>11</v>
      </c>
      <c r="B6" s="111" t="s">
        <v>107</v>
      </c>
      <c r="C6" s="31" t="s">
        <v>50</v>
      </c>
      <c r="D6" s="119">
        <f>100-(74.92-60.33)/60.33*50</f>
        <v>87.908171722194595</v>
      </c>
      <c r="E6" s="19">
        <f>100-(102.7-76.7)/76.7*50</f>
        <v>83.050847457627128</v>
      </c>
      <c r="F6" s="19"/>
      <c r="G6" s="120"/>
      <c r="H6" s="18"/>
      <c r="I6" s="18"/>
      <c r="J6" s="18"/>
      <c r="K6" s="25"/>
      <c r="L6" s="35"/>
      <c r="M6" s="25"/>
      <c r="N6" s="18"/>
      <c r="O6" s="18"/>
      <c r="P6" s="18"/>
      <c r="Q6" s="18"/>
      <c r="R6" s="35"/>
      <c r="S6" s="26">
        <f>SUM(D6:R6)</f>
        <v>170.95901917982172</v>
      </c>
    </row>
    <row r="7" spans="1:22" x14ac:dyDescent="0.25">
      <c r="A7" s="22" t="s">
        <v>13</v>
      </c>
      <c r="B7" s="34" t="s">
        <v>27</v>
      </c>
      <c r="C7" s="24" t="s">
        <v>19</v>
      </c>
      <c r="D7" s="119">
        <f>100-(60.6-60.33)/60.33*50</f>
        <v>99.776230730979606</v>
      </c>
      <c r="E7" s="19"/>
      <c r="F7" s="19"/>
      <c r="G7" s="19"/>
      <c r="H7" s="19"/>
      <c r="I7" s="19"/>
      <c r="J7" s="18"/>
      <c r="K7" s="18"/>
      <c r="L7" s="18"/>
      <c r="M7" s="18"/>
      <c r="N7" s="18"/>
      <c r="O7" s="25"/>
      <c r="P7" s="18"/>
      <c r="Q7" s="18"/>
      <c r="R7" s="18"/>
      <c r="S7" s="26">
        <f>SUM(D7:R7)</f>
        <v>99.776230730979606</v>
      </c>
    </row>
    <row r="8" spans="1:22" x14ac:dyDescent="0.25">
      <c r="A8" s="22" t="s">
        <v>15</v>
      </c>
      <c r="B8" s="34" t="s">
        <v>52</v>
      </c>
      <c r="C8" s="24" t="s">
        <v>53</v>
      </c>
      <c r="D8" s="30"/>
      <c r="E8" s="18">
        <f>100-(87.42-76.7)/76.7*50</f>
        <v>93.011734028683179</v>
      </c>
      <c r="F8" s="28"/>
      <c r="G8" s="18"/>
      <c r="H8" s="19"/>
      <c r="I8" s="19"/>
      <c r="J8" s="18"/>
      <c r="K8" s="25"/>
      <c r="L8" s="18"/>
      <c r="M8" s="18"/>
      <c r="N8" s="18"/>
      <c r="O8" s="18"/>
      <c r="P8" s="18"/>
      <c r="Q8" s="35"/>
      <c r="R8" s="35"/>
      <c r="S8" s="26">
        <f>SUM(D8:R8)</f>
        <v>93.011734028683179</v>
      </c>
    </row>
    <row r="9" spans="1:22" x14ac:dyDescent="0.25">
      <c r="A9" s="22" t="s">
        <v>18</v>
      </c>
      <c r="B9" s="34" t="s">
        <v>54</v>
      </c>
      <c r="C9" s="24" t="s">
        <v>36</v>
      </c>
      <c r="D9" s="30"/>
      <c r="E9" s="18">
        <f>100-(94.02-76.7)/76.7*50</f>
        <v>88.709256844850074</v>
      </c>
      <c r="F9" s="37"/>
      <c r="G9" s="21"/>
      <c r="H9" s="120"/>
      <c r="I9" s="19"/>
      <c r="J9" s="21"/>
      <c r="K9" s="32"/>
      <c r="L9" s="18"/>
      <c r="M9" s="18"/>
      <c r="N9" s="21"/>
      <c r="O9" s="25"/>
      <c r="P9" s="25"/>
      <c r="Q9" s="18"/>
      <c r="R9" s="18"/>
      <c r="S9" s="26">
        <f>SUM(D9:R9)</f>
        <v>88.709256844850074</v>
      </c>
    </row>
    <row r="10" spans="1:22" x14ac:dyDescent="0.25">
      <c r="A10" s="22" t="s">
        <v>20</v>
      </c>
      <c r="B10" s="34" t="s">
        <v>108</v>
      </c>
      <c r="C10" s="24" t="s">
        <v>44</v>
      </c>
      <c r="D10" s="30">
        <f>100-(75.85-60.33)/60.33*50</f>
        <v>87.137410906679932</v>
      </c>
      <c r="E10" s="19"/>
      <c r="F10" s="33"/>
      <c r="G10" s="18"/>
      <c r="H10" s="19"/>
      <c r="I10" s="18"/>
      <c r="J10" s="19"/>
      <c r="K10" s="25"/>
      <c r="L10" s="18"/>
      <c r="M10" s="18"/>
      <c r="N10" s="18"/>
      <c r="O10" s="18"/>
      <c r="P10" s="18"/>
      <c r="Q10" s="68"/>
      <c r="R10" s="18"/>
      <c r="S10" s="26">
        <f>SUM(D10:R10)</f>
        <v>87.137410906679932</v>
      </c>
      <c r="V10" s="50"/>
    </row>
    <row r="11" spans="1:22" x14ac:dyDescent="0.25">
      <c r="A11" s="22" t="s">
        <v>22</v>
      </c>
      <c r="B11" s="34" t="s">
        <v>79</v>
      </c>
      <c r="C11" s="31" t="s">
        <v>80</v>
      </c>
      <c r="D11" s="30">
        <f>100-(88.78-60.33)/60.33*50</f>
        <v>76.421349245814682</v>
      </c>
      <c r="E11" s="35"/>
      <c r="F11" s="33"/>
      <c r="G11" s="18"/>
      <c r="H11" s="19"/>
      <c r="I11" s="19"/>
      <c r="J11" s="18"/>
      <c r="K11" s="18"/>
      <c r="L11" s="18"/>
      <c r="M11" s="25"/>
      <c r="N11" s="18"/>
      <c r="O11" s="25"/>
      <c r="P11" s="18"/>
      <c r="Q11" s="68"/>
      <c r="R11" s="18"/>
      <c r="S11" s="26">
        <f>SUM(D11:R11)</f>
        <v>76.421349245814682</v>
      </c>
    </row>
    <row r="12" spans="1:22" x14ac:dyDescent="0.25">
      <c r="A12" s="22" t="s">
        <v>25</v>
      </c>
      <c r="B12" s="34" t="s">
        <v>75</v>
      </c>
      <c r="C12" s="24" t="s">
        <v>58</v>
      </c>
      <c r="D12" s="30"/>
      <c r="E12" s="18">
        <f>100-(166.55-76.7)/76.7*50</f>
        <v>41.427640156453712</v>
      </c>
      <c r="F12" s="18"/>
      <c r="G12" s="18"/>
      <c r="H12" s="19"/>
      <c r="I12" s="18"/>
      <c r="J12" s="116"/>
      <c r="K12" s="18"/>
      <c r="L12" s="18"/>
      <c r="M12" s="25"/>
      <c r="N12" s="18"/>
      <c r="O12" s="116"/>
      <c r="P12" s="25"/>
      <c r="Q12" s="18"/>
      <c r="R12" s="33"/>
      <c r="S12" s="26">
        <f>SUM(D12:R12)</f>
        <v>41.427640156453712</v>
      </c>
    </row>
    <row r="13" spans="1:22" x14ac:dyDescent="0.25">
      <c r="A13" s="22" t="s">
        <v>26</v>
      </c>
      <c r="B13" s="34"/>
      <c r="C13" s="24"/>
      <c r="D13" s="30"/>
      <c r="E13" s="18"/>
      <c r="F13" s="18"/>
      <c r="G13" s="34"/>
      <c r="H13" s="19"/>
      <c r="I13" s="19"/>
      <c r="J13" s="18"/>
      <c r="K13" s="18"/>
      <c r="L13" s="19"/>
      <c r="M13" s="19"/>
      <c r="N13" s="19"/>
      <c r="O13" s="18"/>
      <c r="P13" s="18"/>
      <c r="Q13" s="18"/>
      <c r="R13" s="18"/>
      <c r="S13" s="26">
        <f>SUM(D13:R13)-D13-L13-H13-Q13-R13</f>
        <v>0</v>
      </c>
    </row>
    <row r="14" spans="1:22" x14ac:dyDescent="0.25">
      <c r="A14" s="22" t="s">
        <v>28</v>
      </c>
      <c r="B14" s="34"/>
      <c r="C14" s="24"/>
      <c r="D14" s="30"/>
      <c r="E14" s="18"/>
      <c r="F14" s="18"/>
      <c r="G14" s="34"/>
      <c r="H14" s="18"/>
      <c r="I14" s="19"/>
      <c r="J14" s="21"/>
      <c r="K14" s="18"/>
      <c r="L14" s="18"/>
      <c r="M14" s="18"/>
      <c r="N14" s="18"/>
      <c r="O14" s="21"/>
      <c r="P14" s="18"/>
      <c r="Q14" s="18"/>
      <c r="R14" s="18"/>
      <c r="S14" s="26">
        <f>SUM(D14:R14)</f>
        <v>0</v>
      </c>
    </row>
    <row r="15" spans="1:22" x14ac:dyDescent="0.25">
      <c r="A15" s="22" t="s">
        <v>29</v>
      </c>
      <c r="B15" s="34"/>
      <c r="C15" s="24"/>
      <c r="D15" s="171"/>
      <c r="E15" s="18"/>
      <c r="F15" s="18"/>
      <c r="G15" s="18"/>
      <c r="H15" s="18"/>
      <c r="I15" s="18"/>
      <c r="J15" s="19"/>
      <c r="K15" s="25"/>
      <c r="L15" s="18"/>
      <c r="M15" s="18"/>
      <c r="N15" s="18"/>
      <c r="O15" s="18"/>
      <c r="P15" s="18"/>
      <c r="Q15" s="18"/>
      <c r="R15" s="18"/>
      <c r="S15" s="26">
        <f>SUM(D15:R15)</f>
        <v>0</v>
      </c>
    </row>
    <row r="16" spans="1:22" x14ac:dyDescent="0.25">
      <c r="A16" s="22" t="s">
        <v>30</v>
      </c>
      <c r="B16" s="34"/>
      <c r="C16" s="24"/>
      <c r="D16" s="30"/>
      <c r="E16" s="21"/>
      <c r="F16" s="37"/>
      <c r="G16" s="21"/>
      <c r="H16" s="116"/>
      <c r="I16" s="18"/>
      <c r="J16" s="32"/>
      <c r="K16" s="21"/>
      <c r="L16" s="18"/>
      <c r="M16" s="18"/>
      <c r="N16" s="21"/>
      <c r="O16" s="25"/>
      <c r="P16" s="25"/>
      <c r="Q16" s="18"/>
      <c r="R16" s="18"/>
      <c r="S16" s="26">
        <f>SUM(D16:R16)</f>
        <v>0</v>
      </c>
    </row>
    <row r="17" spans="1:19" x14ac:dyDescent="0.25">
      <c r="A17" s="22" t="s">
        <v>31</v>
      </c>
      <c r="B17" s="34"/>
      <c r="C17" s="24"/>
      <c r="D17" s="30"/>
      <c r="E17" s="21"/>
      <c r="F17" s="37"/>
      <c r="G17" s="21"/>
      <c r="H17" s="116"/>
      <c r="I17" s="18"/>
      <c r="J17" s="32"/>
      <c r="K17" s="56"/>
      <c r="L17" s="18"/>
      <c r="M17" s="18"/>
      <c r="N17" s="21"/>
      <c r="O17" s="21"/>
      <c r="P17" s="21"/>
      <c r="Q17" s="35"/>
      <c r="R17" s="18"/>
      <c r="S17" s="26">
        <f>SUM(D17:R17)</f>
        <v>0</v>
      </c>
    </row>
    <row r="18" spans="1:19" x14ac:dyDescent="0.25">
      <c r="A18" s="22" t="s">
        <v>32</v>
      </c>
      <c r="B18" s="34"/>
      <c r="C18" s="24"/>
      <c r="D18" s="30"/>
      <c r="E18" s="18"/>
      <c r="F18" s="33"/>
      <c r="G18" s="18"/>
      <c r="H18" s="18"/>
      <c r="I18" s="18"/>
      <c r="J18" s="19"/>
      <c r="K18" s="25"/>
      <c r="L18" s="18"/>
      <c r="M18" s="18"/>
      <c r="N18" s="18"/>
      <c r="O18" s="25"/>
      <c r="P18" s="25"/>
      <c r="Q18" s="112"/>
      <c r="R18" s="18"/>
      <c r="S18" s="26">
        <f>SUM(D18:R18)</f>
        <v>0</v>
      </c>
    </row>
    <row r="19" spans="1:19" x14ac:dyDescent="0.25">
      <c r="A19" s="22" t="s">
        <v>33</v>
      </c>
      <c r="B19" s="34"/>
      <c r="C19" s="24"/>
      <c r="D19" s="30"/>
      <c r="E19" s="18"/>
      <c r="F19" s="33"/>
      <c r="G19" s="18"/>
      <c r="H19" s="18"/>
      <c r="I19" s="116"/>
      <c r="J19" s="19"/>
      <c r="K19" s="25"/>
      <c r="L19" s="18"/>
      <c r="M19" s="18"/>
      <c r="N19" s="18"/>
      <c r="O19" s="25"/>
      <c r="P19" s="25"/>
      <c r="Q19" s="35"/>
      <c r="R19" s="18"/>
      <c r="S19" s="26">
        <f>SUM(D19:R19)</f>
        <v>0</v>
      </c>
    </row>
    <row r="20" spans="1:19" x14ac:dyDescent="0.25">
      <c r="A20" s="22" t="s">
        <v>56</v>
      </c>
      <c r="B20" s="34"/>
      <c r="C20" s="24"/>
      <c r="D20" s="23"/>
      <c r="E20" s="21"/>
      <c r="F20" s="37"/>
      <c r="G20" s="21"/>
      <c r="H20" s="18"/>
      <c r="I20" s="21"/>
      <c r="J20" s="32"/>
      <c r="K20" s="21"/>
      <c r="L20" s="21"/>
      <c r="M20" s="18"/>
      <c r="N20" s="18"/>
      <c r="O20" s="21"/>
      <c r="P20" s="21"/>
      <c r="Q20" s="35"/>
      <c r="R20" s="21"/>
      <c r="S20" s="26">
        <f>SUM(D20:R20)</f>
        <v>0</v>
      </c>
    </row>
    <row r="21" spans="1:19" x14ac:dyDescent="0.25">
      <c r="A21" s="133" t="s">
        <v>85</v>
      </c>
      <c r="B21" s="95"/>
      <c r="C21" s="94"/>
      <c r="D21" s="134"/>
      <c r="E21" s="57"/>
      <c r="F21" s="135"/>
      <c r="G21" s="57"/>
      <c r="H21" s="136"/>
      <c r="I21" s="96"/>
      <c r="J21" s="99"/>
      <c r="K21" s="57"/>
      <c r="L21" s="96"/>
      <c r="M21" s="96"/>
      <c r="N21" s="57"/>
      <c r="O21" s="57"/>
      <c r="P21" s="21"/>
      <c r="Q21" s="21"/>
      <c r="R21" s="18"/>
      <c r="S21" s="26">
        <f>SUM(D21:R21)</f>
        <v>0</v>
      </c>
    </row>
    <row r="22" spans="1:19" ht="15.75" thickBot="1" x14ac:dyDescent="0.3">
      <c r="A22" s="38" t="s">
        <v>87</v>
      </c>
      <c r="B22" s="58"/>
      <c r="C22" s="40"/>
      <c r="D22" s="39"/>
      <c r="E22" s="42"/>
      <c r="F22" s="70"/>
      <c r="G22" s="59"/>
      <c r="H22" s="59"/>
      <c r="I22" s="59"/>
      <c r="J22" s="42"/>
      <c r="K22" s="121"/>
      <c r="L22" s="42"/>
      <c r="M22" s="42"/>
      <c r="N22" s="59"/>
      <c r="O22" s="59"/>
      <c r="P22" s="100"/>
      <c r="Q22" s="59"/>
      <c r="R22" s="41"/>
      <c r="S22" s="46">
        <f>SUM(D22:R22)</f>
        <v>0</v>
      </c>
    </row>
    <row r="23" spans="1:19" x14ac:dyDescent="0.25">
      <c r="A23" s="2"/>
      <c r="B23" s="2"/>
      <c r="C23" s="2"/>
      <c r="D23" s="2"/>
      <c r="E23" s="2"/>
      <c r="F23" s="51"/>
      <c r="G23" s="2"/>
      <c r="H23" s="2"/>
      <c r="I23" s="2"/>
      <c r="J23" s="2"/>
      <c r="K23" s="2"/>
      <c r="L23" s="47"/>
      <c r="M23" s="2"/>
      <c r="N23" s="2"/>
      <c r="O23" s="2"/>
      <c r="P23" s="2"/>
      <c r="Q23" s="2"/>
      <c r="R23" s="47"/>
      <c r="S23" s="50"/>
    </row>
    <row r="24" spans="1:19" s="52" customFormat="1" x14ac:dyDescent="0.25">
      <c r="A24" s="52" t="s">
        <v>34</v>
      </c>
    </row>
    <row r="25" spans="1:19" s="53" customFormat="1" x14ac:dyDescent="0.25">
      <c r="A25" s="53" t="s">
        <v>35</v>
      </c>
    </row>
  </sheetData>
  <sortState ref="B3:S22">
    <sortCondition descending="1" ref="S3"/>
  </sortState>
  <mergeCells count="1">
    <mergeCell ref="A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selection activeCell="F19" sqref="F19:F20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19" width="9.140625" style="3" customWidth="1"/>
    <col min="20" max="33" width="9" style="2"/>
    <col min="34" max="255" width="9" style="3"/>
    <col min="256" max="256" width="5.42578125" style="3" customWidth="1"/>
    <col min="257" max="257" width="18" style="3" customWidth="1"/>
    <col min="258" max="258" width="11.85546875" style="3" customWidth="1"/>
    <col min="259" max="275" width="9.140625" style="3" customWidth="1"/>
    <col min="276" max="511" width="9" style="3"/>
    <col min="512" max="512" width="5.42578125" style="3" customWidth="1"/>
    <col min="513" max="513" width="18" style="3" customWidth="1"/>
    <col min="514" max="514" width="11.85546875" style="3" customWidth="1"/>
    <col min="515" max="531" width="9.140625" style="3" customWidth="1"/>
    <col min="532" max="767" width="9" style="3"/>
    <col min="768" max="768" width="5.42578125" style="3" customWidth="1"/>
    <col min="769" max="769" width="18" style="3" customWidth="1"/>
    <col min="770" max="770" width="11.85546875" style="3" customWidth="1"/>
    <col min="771" max="787" width="9.140625" style="3" customWidth="1"/>
    <col min="788" max="1023" width="9" style="3"/>
    <col min="1024" max="1024" width="5.42578125" style="3" customWidth="1"/>
    <col min="1025" max="1025" width="18" style="3" customWidth="1"/>
    <col min="1026" max="1026" width="11.85546875" style="3" customWidth="1"/>
    <col min="1027" max="1043" width="9.140625" style="3" customWidth="1"/>
    <col min="1044" max="1279" width="9" style="3"/>
    <col min="1280" max="1280" width="5.42578125" style="3" customWidth="1"/>
    <col min="1281" max="1281" width="18" style="3" customWidth="1"/>
    <col min="1282" max="1282" width="11.85546875" style="3" customWidth="1"/>
    <col min="1283" max="1299" width="9.140625" style="3" customWidth="1"/>
    <col min="1300" max="1535" width="9" style="3"/>
    <col min="1536" max="1536" width="5.42578125" style="3" customWidth="1"/>
    <col min="1537" max="1537" width="18" style="3" customWidth="1"/>
    <col min="1538" max="1538" width="11.85546875" style="3" customWidth="1"/>
    <col min="1539" max="1555" width="9.140625" style="3" customWidth="1"/>
    <col min="1556" max="1791" width="9" style="3"/>
    <col min="1792" max="1792" width="5.42578125" style="3" customWidth="1"/>
    <col min="1793" max="1793" width="18" style="3" customWidth="1"/>
    <col min="1794" max="1794" width="11.85546875" style="3" customWidth="1"/>
    <col min="1795" max="1811" width="9.140625" style="3" customWidth="1"/>
    <col min="1812" max="2047" width="9" style="3"/>
    <col min="2048" max="2048" width="5.42578125" style="3" customWidth="1"/>
    <col min="2049" max="2049" width="18" style="3" customWidth="1"/>
    <col min="2050" max="2050" width="11.85546875" style="3" customWidth="1"/>
    <col min="2051" max="2067" width="9.140625" style="3" customWidth="1"/>
    <col min="2068" max="2303" width="9" style="3"/>
    <col min="2304" max="2304" width="5.42578125" style="3" customWidth="1"/>
    <col min="2305" max="2305" width="18" style="3" customWidth="1"/>
    <col min="2306" max="2306" width="11.85546875" style="3" customWidth="1"/>
    <col min="2307" max="2323" width="9.140625" style="3" customWidth="1"/>
    <col min="2324" max="2559" width="9" style="3"/>
    <col min="2560" max="2560" width="5.42578125" style="3" customWidth="1"/>
    <col min="2561" max="2561" width="18" style="3" customWidth="1"/>
    <col min="2562" max="2562" width="11.85546875" style="3" customWidth="1"/>
    <col min="2563" max="2579" width="9.140625" style="3" customWidth="1"/>
    <col min="2580" max="2815" width="9" style="3"/>
    <col min="2816" max="2816" width="5.42578125" style="3" customWidth="1"/>
    <col min="2817" max="2817" width="18" style="3" customWidth="1"/>
    <col min="2818" max="2818" width="11.85546875" style="3" customWidth="1"/>
    <col min="2819" max="2835" width="9.140625" style="3" customWidth="1"/>
    <col min="2836" max="3071" width="9" style="3"/>
    <col min="3072" max="3072" width="5.42578125" style="3" customWidth="1"/>
    <col min="3073" max="3073" width="18" style="3" customWidth="1"/>
    <col min="3074" max="3074" width="11.85546875" style="3" customWidth="1"/>
    <col min="3075" max="3091" width="9.140625" style="3" customWidth="1"/>
    <col min="3092" max="3327" width="9" style="3"/>
    <col min="3328" max="3328" width="5.42578125" style="3" customWidth="1"/>
    <col min="3329" max="3329" width="18" style="3" customWidth="1"/>
    <col min="3330" max="3330" width="11.85546875" style="3" customWidth="1"/>
    <col min="3331" max="3347" width="9.140625" style="3" customWidth="1"/>
    <col min="3348" max="3583" width="9" style="3"/>
    <col min="3584" max="3584" width="5.42578125" style="3" customWidth="1"/>
    <col min="3585" max="3585" width="18" style="3" customWidth="1"/>
    <col min="3586" max="3586" width="11.85546875" style="3" customWidth="1"/>
    <col min="3587" max="3603" width="9.140625" style="3" customWidth="1"/>
    <col min="3604" max="3839" width="9" style="3"/>
    <col min="3840" max="3840" width="5.42578125" style="3" customWidth="1"/>
    <col min="3841" max="3841" width="18" style="3" customWidth="1"/>
    <col min="3842" max="3842" width="11.85546875" style="3" customWidth="1"/>
    <col min="3843" max="3859" width="9.140625" style="3" customWidth="1"/>
    <col min="3860" max="4095" width="9" style="3"/>
    <col min="4096" max="4096" width="5.42578125" style="3" customWidth="1"/>
    <col min="4097" max="4097" width="18" style="3" customWidth="1"/>
    <col min="4098" max="4098" width="11.85546875" style="3" customWidth="1"/>
    <col min="4099" max="4115" width="9.140625" style="3" customWidth="1"/>
    <col min="4116" max="4351" width="9" style="3"/>
    <col min="4352" max="4352" width="5.42578125" style="3" customWidth="1"/>
    <col min="4353" max="4353" width="18" style="3" customWidth="1"/>
    <col min="4354" max="4354" width="11.85546875" style="3" customWidth="1"/>
    <col min="4355" max="4371" width="9.140625" style="3" customWidth="1"/>
    <col min="4372" max="4607" width="9" style="3"/>
    <col min="4608" max="4608" width="5.42578125" style="3" customWidth="1"/>
    <col min="4609" max="4609" width="18" style="3" customWidth="1"/>
    <col min="4610" max="4610" width="11.85546875" style="3" customWidth="1"/>
    <col min="4611" max="4627" width="9.140625" style="3" customWidth="1"/>
    <col min="4628" max="4863" width="9" style="3"/>
    <col min="4864" max="4864" width="5.42578125" style="3" customWidth="1"/>
    <col min="4865" max="4865" width="18" style="3" customWidth="1"/>
    <col min="4866" max="4866" width="11.85546875" style="3" customWidth="1"/>
    <col min="4867" max="4883" width="9.140625" style="3" customWidth="1"/>
    <col min="4884" max="5119" width="9" style="3"/>
    <col min="5120" max="5120" width="5.42578125" style="3" customWidth="1"/>
    <col min="5121" max="5121" width="18" style="3" customWidth="1"/>
    <col min="5122" max="5122" width="11.85546875" style="3" customWidth="1"/>
    <col min="5123" max="5139" width="9.140625" style="3" customWidth="1"/>
    <col min="5140" max="5375" width="9" style="3"/>
    <col min="5376" max="5376" width="5.42578125" style="3" customWidth="1"/>
    <col min="5377" max="5377" width="18" style="3" customWidth="1"/>
    <col min="5378" max="5378" width="11.85546875" style="3" customWidth="1"/>
    <col min="5379" max="5395" width="9.140625" style="3" customWidth="1"/>
    <col min="5396" max="5631" width="9" style="3"/>
    <col min="5632" max="5632" width="5.42578125" style="3" customWidth="1"/>
    <col min="5633" max="5633" width="18" style="3" customWidth="1"/>
    <col min="5634" max="5634" width="11.85546875" style="3" customWidth="1"/>
    <col min="5635" max="5651" width="9.140625" style="3" customWidth="1"/>
    <col min="5652" max="5887" width="9" style="3"/>
    <col min="5888" max="5888" width="5.42578125" style="3" customWidth="1"/>
    <col min="5889" max="5889" width="18" style="3" customWidth="1"/>
    <col min="5890" max="5890" width="11.85546875" style="3" customWidth="1"/>
    <col min="5891" max="5907" width="9.140625" style="3" customWidth="1"/>
    <col min="5908" max="6143" width="9" style="3"/>
    <col min="6144" max="6144" width="5.42578125" style="3" customWidth="1"/>
    <col min="6145" max="6145" width="18" style="3" customWidth="1"/>
    <col min="6146" max="6146" width="11.85546875" style="3" customWidth="1"/>
    <col min="6147" max="6163" width="9.140625" style="3" customWidth="1"/>
    <col min="6164" max="6399" width="9" style="3"/>
    <col min="6400" max="6400" width="5.42578125" style="3" customWidth="1"/>
    <col min="6401" max="6401" width="18" style="3" customWidth="1"/>
    <col min="6402" max="6402" width="11.85546875" style="3" customWidth="1"/>
    <col min="6403" max="6419" width="9.140625" style="3" customWidth="1"/>
    <col min="6420" max="6655" width="9" style="3"/>
    <col min="6656" max="6656" width="5.42578125" style="3" customWidth="1"/>
    <col min="6657" max="6657" width="18" style="3" customWidth="1"/>
    <col min="6658" max="6658" width="11.85546875" style="3" customWidth="1"/>
    <col min="6659" max="6675" width="9.140625" style="3" customWidth="1"/>
    <col min="6676" max="6911" width="9" style="3"/>
    <col min="6912" max="6912" width="5.42578125" style="3" customWidth="1"/>
    <col min="6913" max="6913" width="18" style="3" customWidth="1"/>
    <col min="6914" max="6914" width="11.85546875" style="3" customWidth="1"/>
    <col min="6915" max="6931" width="9.140625" style="3" customWidth="1"/>
    <col min="6932" max="7167" width="9" style="3"/>
    <col min="7168" max="7168" width="5.42578125" style="3" customWidth="1"/>
    <col min="7169" max="7169" width="18" style="3" customWidth="1"/>
    <col min="7170" max="7170" width="11.85546875" style="3" customWidth="1"/>
    <col min="7171" max="7187" width="9.140625" style="3" customWidth="1"/>
    <col min="7188" max="7423" width="9" style="3"/>
    <col min="7424" max="7424" width="5.42578125" style="3" customWidth="1"/>
    <col min="7425" max="7425" width="18" style="3" customWidth="1"/>
    <col min="7426" max="7426" width="11.85546875" style="3" customWidth="1"/>
    <col min="7427" max="7443" width="9.140625" style="3" customWidth="1"/>
    <col min="7444" max="7679" width="9" style="3"/>
    <col min="7680" max="7680" width="5.42578125" style="3" customWidth="1"/>
    <col min="7681" max="7681" width="18" style="3" customWidth="1"/>
    <col min="7682" max="7682" width="11.85546875" style="3" customWidth="1"/>
    <col min="7683" max="7699" width="9.140625" style="3" customWidth="1"/>
    <col min="7700" max="7935" width="9" style="3"/>
    <col min="7936" max="7936" width="5.42578125" style="3" customWidth="1"/>
    <col min="7937" max="7937" width="18" style="3" customWidth="1"/>
    <col min="7938" max="7938" width="11.85546875" style="3" customWidth="1"/>
    <col min="7939" max="7955" width="9.140625" style="3" customWidth="1"/>
    <col min="7956" max="8191" width="9" style="3"/>
    <col min="8192" max="8192" width="5.42578125" style="3" customWidth="1"/>
    <col min="8193" max="8193" width="18" style="3" customWidth="1"/>
    <col min="8194" max="8194" width="11.85546875" style="3" customWidth="1"/>
    <col min="8195" max="8211" width="9.140625" style="3" customWidth="1"/>
    <col min="8212" max="8447" width="9" style="3"/>
    <col min="8448" max="8448" width="5.42578125" style="3" customWidth="1"/>
    <col min="8449" max="8449" width="18" style="3" customWidth="1"/>
    <col min="8450" max="8450" width="11.85546875" style="3" customWidth="1"/>
    <col min="8451" max="8467" width="9.140625" style="3" customWidth="1"/>
    <col min="8468" max="8703" width="9" style="3"/>
    <col min="8704" max="8704" width="5.42578125" style="3" customWidth="1"/>
    <col min="8705" max="8705" width="18" style="3" customWidth="1"/>
    <col min="8706" max="8706" width="11.85546875" style="3" customWidth="1"/>
    <col min="8707" max="8723" width="9.140625" style="3" customWidth="1"/>
    <col min="8724" max="8959" width="9" style="3"/>
    <col min="8960" max="8960" width="5.42578125" style="3" customWidth="1"/>
    <col min="8961" max="8961" width="18" style="3" customWidth="1"/>
    <col min="8962" max="8962" width="11.85546875" style="3" customWidth="1"/>
    <col min="8963" max="8979" width="9.140625" style="3" customWidth="1"/>
    <col min="8980" max="9215" width="9" style="3"/>
    <col min="9216" max="9216" width="5.42578125" style="3" customWidth="1"/>
    <col min="9217" max="9217" width="18" style="3" customWidth="1"/>
    <col min="9218" max="9218" width="11.85546875" style="3" customWidth="1"/>
    <col min="9219" max="9235" width="9.140625" style="3" customWidth="1"/>
    <col min="9236" max="9471" width="9" style="3"/>
    <col min="9472" max="9472" width="5.42578125" style="3" customWidth="1"/>
    <col min="9473" max="9473" width="18" style="3" customWidth="1"/>
    <col min="9474" max="9474" width="11.85546875" style="3" customWidth="1"/>
    <col min="9475" max="9491" width="9.140625" style="3" customWidth="1"/>
    <col min="9492" max="9727" width="9" style="3"/>
    <col min="9728" max="9728" width="5.42578125" style="3" customWidth="1"/>
    <col min="9729" max="9729" width="18" style="3" customWidth="1"/>
    <col min="9730" max="9730" width="11.85546875" style="3" customWidth="1"/>
    <col min="9731" max="9747" width="9.140625" style="3" customWidth="1"/>
    <col min="9748" max="9983" width="9" style="3"/>
    <col min="9984" max="9984" width="5.42578125" style="3" customWidth="1"/>
    <col min="9985" max="9985" width="18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42578125" style="3" customWidth="1"/>
    <col min="10241" max="10241" width="18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42578125" style="3" customWidth="1"/>
    <col min="10497" max="10497" width="18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42578125" style="3" customWidth="1"/>
    <col min="10753" max="10753" width="18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42578125" style="3" customWidth="1"/>
    <col min="11009" max="11009" width="18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42578125" style="3" customWidth="1"/>
    <col min="11265" max="11265" width="18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42578125" style="3" customWidth="1"/>
    <col min="11521" max="11521" width="18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42578125" style="3" customWidth="1"/>
    <col min="11777" max="11777" width="18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42578125" style="3" customWidth="1"/>
    <col min="12033" max="12033" width="18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42578125" style="3" customWidth="1"/>
    <col min="12289" max="12289" width="18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42578125" style="3" customWidth="1"/>
    <col min="12545" max="12545" width="18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42578125" style="3" customWidth="1"/>
    <col min="12801" max="12801" width="18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42578125" style="3" customWidth="1"/>
    <col min="13057" max="13057" width="18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42578125" style="3" customWidth="1"/>
    <col min="13313" max="13313" width="18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42578125" style="3" customWidth="1"/>
    <col min="13569" max="13569" width="18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42578125" style="3" customWidth="1"/>
    <col min="13825" max="13825" width="18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42578125" style="3" customWidth="1"/>
    <col min="14081" max="14081" width="18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42578125" style="3" customWidth="1"/>
    <col min="14337" max="14337" width="18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42578125" style="3" customWidth="1"/>
    <col min="14593" max="14593" width="18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42578125" style="3" customWidth="1"/>
    <col min="14849" max="14849" width="18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42578125" style="3" customWidth="1"/>
    <col min="15105" max="15105" width="18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42578125" style="3" customWidth="1"/>
    <col min="15361" max="15361" width="18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42578125" style="3" customWidth="1"/>
    <col min="15617" max="15617" width="18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42578125" style="3" customWidth="1"/>
    <col min="15873" max="15873" width="18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42578125" style="3" customWidth="1"/>
    <col min="16129" max="16129" width="18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71.75" customHeight="1" thickBot="1" x14ac:dyDescent="0.3">
      <c r="A2" s="80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78" t="s">
        <v>4</v>
      </c>
      <c r="B3" s="14" t="s">
        <v>63</v>
      </c>
      <c r="C3" s="15" t="s">
        <v>53</v>
      </c>
      <c r="D3" s="17">
        <f>100-(66.43-66.43)/66.43*50</f>
        <v>100</v>
      </c>
      <c r="E3" s="25">
        <f>100-(72.23-61.27)/61.27*50</f>
        <v>91.055981720254607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0">
        <f>SUM(D3:R3)</f>
        <v>191.05598172025461</v>
      </c>
    </row>
    <row r="4" spans="1:21" x14ac:dyDescent="0.25">
      <c r="A4" s="117" t="s">
        <v>6</v>
      </c>
      <c r="B4" s="111" t="s">
        <v>78</v>
      </c>
      <c r="C4" s="31" t="s">
        <v>58</v>
      </c>
      <c r="D4" s="119"/>
      <c r="E4" s="25">
        <f>100-(61.27-61.27)/61.27*50</f>
        <v>100</v>
      </c>
      <c r="F4" s="25"/>
      <c r="G4" s="25"/>
      <c r="H4" s="25"/>
      <c r="I4" s="25"/>
      <c r="J4" s="25"/>
      <c r="K4" s="25"/>
      <c r="L4" s="25"/>
      <c r="M4" s="25"/>
      <c r="N4" s="25"/>
      <c r="O4" s="18"/>
      <c r="P4" s="25"/>
      <c r="Q4" s="25"/>
      <c r="R4" s="25"/>
      <c r="S4" s="126">
        <f>SUM(D4:R4)</f>
        <v>100</v>
      </c>
    </row>
    <row r="5" spans="1:21" x14ac:dyDescent="0.25">
      <c r="A5" s="118" t="s">
        <v>6</v>
      </c>
      <c r="B5" s="97" t="s">
        <v>72</v>
      </c>
      <c r="C5" s="98" t="s">
        <v>38</v>
      </c>
      <c r="D5" s="30">
        <f>100-(82.05-66.43)/66.43*50</f>
        <v>88.243263585729352</v>
      </c>
      <c r="E5" s="74"/>
      <c r="F5" s="74"/>
      <c r="G5" s="74"/>
      <c r="H5" s="25"/>
      <c r="I5" s="74"/>
      <c r="J5" s="74"/>
      <c r="K5" s="25"/>
      <c r="L5" s="25"/>
      <c r="M5" s="74"/>
      <c r="N5" s="74"/>
      <c r="O5" s="74"/>
      <c r="P5" s="74"/>
      <c r="Q5" s="74"/>
      <c r="R5" s="74"/>
      <c r="S5" s="26">
        <f>SUM(D5:R5)</f>
        <v>88.243263585729352</v>
      </c>
    </row>
    <row r="6" spans="1:21" ht="15.75" thickBot="1" x14ac:dyDescent="0.3">
      <c r="A6" s="82" t="s">
        <v>11</v>
      </c>
      <c r="B6" s="39"/>
      <c r="C6" s="40"/>
      <c r="D6" s="87"/>
      <c r="E6" s="42"/>
      <c r="F6" s="42"/>
      <c r="G6" s="42"/>
      <c r="H6" s="42"/>
      <c r="I6" s="42"/>
      <c r="J6" s="42"/>
      <c r="K6" s="45"/>
      <c r="L6" s="45"/>
      <c r="M6" s="42"/>
      <c r="N6" s="42"/>
      <c r="O6" s="42"/>
      <c r="P6" s="42"/>
      <c r="Q6" s="42"/>
      <c r="R6" s="42"/>
      <c r="S6" s="103">
        <f>SUM(D6:R6)</f>
        <v>0</v>
      </c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7"/>
      <c r="O7" s="47"/>
      <c r="P7" s="47"/>
      <c r="Q7" s="47"/>
      <c r="R7" s="49"/>
      <c r="S7" s="50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7"/>
      <c r="O8" s="47"/>
      <c r="P8" s="47"/>
      <c r="Q8" s="47"/>
      <c r="R8" s="2"/>
      <c r="S8" s="50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7"/>
      <c r="O9" s="2"/>
      <c r="P9" s="2"/>
      <c r="Q9" s="2"/>
      <c r="R9" s="2"/>
      <c r="S9" s="2"/>
    </row>
    <row r="10" spans="1:21" s="52" customFormat="1" x14ac:dyDescent="0.25">
      <c r="A10" s="52" t="s">
        <v>34</v>
      </c>
    </row>
    <row r="11" spans="1:21" s="53" customFormat="1" x14ac:dyDescent="0.25">
      <c r="A11" s="53" t="s">
        <v>35</v>
      </c>
    </row>
  </sheetData>
  <sortState ref="B3:S6">
    <sortCondition descending="1" ref="S3"/>
  </sortState>
  <mergeCells count="1">
    <mergeCell ref="A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selection activeCell="M16" sqref="M16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19" width="9.140625" style="3" customWidth="1"/>
    <col min="20" max="33" width="9" style="2"/>
    <col min="34" max="255" width="9" style="3"/>
    <col min="256" max="256" width="5.42578125" style="3" customWidth="1"/>
    <col min="257" max="257" width="18" style="3" customWidth="1"/>
    <col min="258" max="258" width="11.85546875" style="3" customWidth="1"/>
    <col min="259" max="275" width="9.140625" style="3" customWidth="1"/>
    <col min="276" max="511" width="9" style="3"/>
    <col min="512" max="512" width="5.42578125" style="3" customWidth="1"/>
    <col min="513" max="513" width="18" style="3" customWidth="1"/>
    <col min="514" max="514" width="11.85546875" style="3" customWidth="1"/>
    <col min="515" max="531" width="9.140625" style="3" customWidth="1"/>
    <col min="532" max="767" width="9" style="3"/>
    <col min="768" max="768" width="5.42578125" style="3" customWidth="1"/>
    <col min="769" max="769" width="18" style="3" customWidth="1"/>
    <col min="770" max="770" width="11.85546875" style="3" customWidth="1"/>
    <col min="771" max="787" width="9.140625" style="3" customWidth="1"/>
    <col min="788" max="1023" width="9" style="3"/>
    <col min="1024" max="1024" width="5.42578125" style="3" customWidth="1"/>
    <col min="1025" max="1025" width="18" style="3" customWidth="1"/>
    <col min="1026" max="1026" width="11.85546875" style="3" customWidth="1"/>
    <col min="1027" max="1043" width="9.140625" style="3" customWidth="1"/>
    <col min="1044" max="1279" width="9" style="3"/>
    <col min="1280" max="1280" width="5.42578125" style="3" customWidth="1"/>
    <col min="1281" max="1281" width="18" style="3" customWidth="1"/>
    <col min="1282" max="1282" width="11.85546875" style="3" customWidth="1"/>
    <col min="1283" max="1299" width="9.140625" style="3" customWidth="1"/>
    <col min="1300" max="1535" width="9" style="3"/>
    <col min="1536" max="1536" width="5.42578125" style="3" customWidth="1"/>
    <col min="1537" max="1537" width="18" style="3" customWidth="1"/>
    <col min="1538" max="1538" width="11.85546875" style="3" customWidth="1"/>
    <col min="1539" max="1555" width="9.140625" style="3" customWidth="1"/>
    <col min="1556" max="1791" width="9" style="3"/>
    <col min="1792" max="1792" width="5.42578125" style="3" customWidth="1"/>
    <col min="1793" max="1793" width="18" style="3" customWidth="1"/>
    <col min="1794" max="1794" width="11.85546875" style="3" customWidth="1"/>
    <col min="1795" max="1811" width="9.140625" style="3" customWidth="1"/>
    <col min="1812" max="2047" width="9" style="3"/>
    <col min="2048" max="2048" width="5.42578125" style="3" customWidth="1"/>
    <col min="2049" max="2049" width="18" style="3" customWidth="1"/>
    <col min="2050" max="2050" width="11.85546875" style="3" customWidth="1"/>
    <col min="2051" max="2067" width="9.140625" style="3" customWidth="1"/>
    <col min="2068" max="2303" width="9" style="3"/>
    <col min="2304" max="2304" width="5.42578125" style="3" customWidth="1"/>
    <col min="2305" max="2305" width="18" style="3" customWidth="1"/>
    <col min="2306" max="2306" width="11.85546875" style="3" customWidth="1"/>
    <col min="2307" max="2323" width="9.140625" style="3" customWidth="1"/>
    <col min="2324" max="2559" width="9" style="3"/>
    <col min="2560" max="2560" width="5.42578125" style="3" customWidth="1"/>
    <col min="2561" max="2561" width="18" style="3" customWidth="1"/>
    <col min="2562" max="2562" width="11.85546875" style="3" customWidth="1"/>
    <col min="2563" max="2579" width="9.140625" style="3" customWidth="1"/>
    <col min="2580" max="2815" width="9" style="3"/>
    <col min="2816" max="2816" width="5.42578125" style="3" customWidth="1"/>
    <col min="2817" max="2817" width="18" style="3" customWidth="1"/>
    <col min="2818" max="2818" width="11.85546875" style="3" customWidth="1"/>
    <col min="2819" max="2835" width="9.140625" style="3" customWidth="1"/>
    <col min="2836" max="3071" width="9" style="3"/>
    <col min="3072" max="3072" width="5.42578125" style="3" customWidth="1"/>
    <col min="3073" max="3073" width="18" style="3" customWidth="1"/>
    <col min="3074" max="3074" width="11.85546875" style="3" customWidth="1"/>
    <col min="3075" max="3091" width="9.140625" style="3" customWidth="1"/>
    <col min="3092" max="3327" width="9" style="3"/>
    <col min="3328" max="3328" width="5.42578125" style="3" customWidth="1"/>
    <col min="3329" max="3329" width="18" style="3" customWidth="1"/>
    <col min="3330" max="3330" width="11.85546875" style="3" customWidth="1"/>
    <col min="3331" max="3347" width="9.140625" style="3" customWidth="1"/>
    <col min="3348" max="3583" width="9" style="3"/>
    <col min="3584" max="3584" width="5.42578125" style="3" customWidth="1"/>
    <col min="3585" max="3585" width="18" style="3" customWidth="1"/>
    <col min="3586" max="3586" width="11.85546875" style="3" customWidth="1"/>
    <col min="3587" max="3603" width="9.140625" style="3" customWidth="1"/>
    <col min="3604" max="3839" width="9" style="3"/>
    <col min="3840" max="3840" width="5.42578125" style="3" customWidth="1"/>
    <col min="3841" max="3841" width="18" style="3" customWidth="1"/>
    <col min="3842" max="3842" width="11.85546875" style="3" customWidth="1"/>
    <col min="3843" max="3859" width="9.140625" style="3" customWidth="1"/>
    <col min="3860" max="4095" width="9" style="3"/>
    <col min="4096" max="4096" width="5.42578125" style="3" customWidth="1"/>
    <col min="4097" max="4097" width="18" style="3" customWidth="1"/>
    <col min="4098" max="4098" width="11.85546875" style="3" customWidth="1"/>
    <col min="4099" max="4115" width="9.140625" style="3" customWidth="1"/>
    <col min="4116" max="4351" width="9" style="3"/>
    <col min="4352" max="4352" width="5.42578125" style="3" customWidth="1"/>
    <col min="4353" max="4353" width="18" style="3" customWidth="1"/>
    <col min="4354" max="4354" width="11.85546875" style="3" customWidth="1"/>
    <col min="4355" max="4371" width="9.140625" style="3" customWidth="1"/>
    <col min="4372" max="4607" width="9" style="3"/>
    <col min="4608" max="4608" width="5.42578125" style="3" customWidth="1"/>
    <col min="4609" max="4609" width="18" style="3" customWidth="1"/>
    <col min="4610" max="4610" width="11.85546875" style="3" customWidth="1"/>
    <col min="4611" max="4627" width="9.140625" style="3" customWidth="1"/>
    <col min="4628" max="4863" width="9" style="3"/>
    <col min="4864" max="4864" width="5.42578125" style="3" customWidth="1"/>
    <col min="4865" max="4865" width="18" style="3" customWidth="1"/>
    <col min="4866" max="4866" width="11.85546875" style="3" customWidth="1"/>
    <col min="4867" max="4883" width="9.140625" style="3" customWidth="1"/>
    <col min="4884" max="5119" width="9" style="3"/>
    <col min="5120" max="5120" width="5.42578125" style="3" customWidth="1"/>
    <col min="5121" max="5121" width="18" style="3" customWidth="1"/>
    <col min="5122" max="5122" width="11.85546875" style="3" customWidth="1"/>
    <col min="5123" max="5139" width="9.140625" style="3" customWidth="1"/>
    <col min="5140" max="5375" width="9" style="3"/>
    <col min="5376" max="5376" width="5.42578125" style="3" customWidth="1"/>
    <col min="5377" max="5377" width="18" style="3" customWidth="1"/>
    <col min="5378" max="5378" width="11.85546875" style="3" customWidth="1"/>
    <col min="5379" max="5395" width="9.140625" style="3" customWidth="1"/>
    <col min="5396" max="5631" width="9" style="3"/>
    <col min="5632" max="5632" width="5.42578125" style="3" customWidth="1"/>
    <col min="5633" max="5633" width="18" style="3" customWidth="1"/>
    <col min="5634" max="5634" width="11.85546875" style="3" customWidth="1"/>
    <col min="5635" max="5651" width="9.140625" style="3" customWidth="1"/>
    <col min="5652" max="5887" width="9" style="3"/>
    <col min="5888" max="5888" width="5.42578125" style="3" customWidth="1"/>
    <col min="5889" max="5889" width="18" style="3" customWidth="1"/>
    <col min="5890" max="5890" width="11.85546875" style="3" customWidth="1"/>
    <col min="5891" max="5907" width="9.140625" style="3" customWidth="1"/>
    <col min="5908" max="6143" width="9" style="3"/>
    <col min="6144" max="6144" width="5.42578125" style="3" customWidth="1"/>
    <col min="6145" max="6145" width="18" style="3" customWidth="1"/>
    <col min="6146" max="6146" width="11.85546875" style="3" customWidth="1"/>
    <col min="6147" max="6163" width="9.140625" style="3" customWidth="1"/>
    <col min="6164" max="6399" width="9" style="3"/>
    <col min="6400" max="6400" width="5.42578125" style="3" customWidth="1"/>
    <col min="6401" max="6401" width="18" style="3" customWidth="1"/>
    <col min="6402" max="6402" width="11.85546875" style="3" customWidth="1"/>
    <col min="6403" max="6419" width="9.140625" style="3" customWidth="1"/>
    <col min="6420" max="6655" width="9" style="3"/>
    <col min="6656" max="6656" width="5.42578125" style="3" customWidth="1"/>
    <col min="6657" max="6657" width="18" style="3" customWidth="1"/>
    <col min="6658" max="6658" width="11.85546875" style="3" customWidth="1"/>
    <col min="6659" max="6675" width="9.140625" style="3" customWidth="1"/>
    <col min="6676" max="6911" width="9" style="3"/>
    <col min="6912" max="6912" width="5.42578125" style="3" customWidth="1"/>
    <col min="6913" max="6913" width="18" style="3" customWidth="1"/>
    <col min="6914" max="6914" width="11.85546875" style="3" customWidth="1"/>
    <col min="6915" max="6931" width="9.140625" style="3" customWidth="1"/>
    <col min="6932" max="7167" width="9" style="3"/>
    <col min="7168" max="7168" width="5.42578125" style="3" customWidth="1"/>
    <col min="7169" max="7169" width="18" style="3" customWidth="1"/>
    <col min="7170" max="7170" width="11.85546875" style="3" customWidth="1"/>
    <col min="7171" max="7187" width="9.140625" style="3" customWidth="1"/>
    <col min="7188" max="7423" width="9" style="3"/>
    <col min="7424" max="7424" width="5.42578125" style="3" customWidth="1"/>
    <col min="7425" max="7425" width="18" style="3" customWidth="1"/>
    <col min="7426" max="7426" width="11.85546875" style="3" customWidth="1"/>
    <col min="7427" max="7443" width="9.140625" style="3" customWidth="1"/>
    <col min="7444" max="7679" width="9" style="3"/>
    <col min="7680" max="7680" width="5.42578125" style="3" customWidth="1"/>
    <col min="7681" max="7681" width="18" style="3" customWidth="1"/>
    <col min="7682" max="7682" width="11.85546875" style="3" customWidth="1"/>
    <col min="7683" max="7699" width="9.140625" style="3" customWidth="1"/>
    <col min="7700" max="7935" width="9" style="3"/>
    <col min="7936" max="7936" width="5.42578125" style="3" customWidth="1"/>
    <col min="7937" max="7937" width="18" style="3" customWidth="1"/>
    <col min="7938" max="7938" width="11.85546875" style="3" customWidth="1"/>
    <col min="7939" max="7955" width="9.140625" style="3" customWidth="1"/>
    <col min="7956" max="8191" width="9" style="3"/>
    <col min="8192" max="8192" width="5.42578125" style="3" customWidth="1"/>
    <col min="8193" max="8193" width="18" style="3" customWidth="1"/>
    <col min="8194" max="8194" width="11.85546875" style="3" customWidth="1"/>
    <col min="8195" max="8211" width="9.140625" style="3" customWidth="1"/>
    <col min="8212" max="8447" width="9" style="3"/>
    <col min="8448" max="8448" width="5.42578125" style="3" customWidth="1"/>
    <col min="8449" max="8449" width="18" style="3" customWidth="1"/>
    <col min="8450" max="8450" width="11.85546875" style="3" customWidth="1"/>
    <col min="8451" max="8467" width="9.140625" style="3" customWidth="1"/>
    <col min="8468" max="8703" width="9" style="3"/>
    <col min="8704" max="8704" width="5.42578125" style="3" customWidth="1"/>
    <col min="8705" max="8705" width="18" style="3" customWidth="1"/>
    <col min="8706" max="8706" width="11.85546875" style="3" customWidth="1"/>
    <col min="8707" max="8723" width="9.140625" style="3" customWidth="1"/>
    <col min="8724" max="8959" width="9" style="3"/>
    <col min="8960" max="8960" width="5.42578125" style="3" customWidth="1"/>
    <col min="8961" max="8961" width="18" style="3" customWidth="1"/>
    <col min="8962" max="8962" width="11.85546875" style="3" customWidth="1"/>
    <col min="8963" max="8979" width="9.140625" style="3" customWidth="1"/>
    <col min="8980" max="9215" width="9" style="3"/>
    <col min="9216" max="9216" width="5.42578125" style="3" customWidth="1"/>
    <col min="9217" max="9217" width="18" style="3" customWidth="1"/>
    <col min="9218" max="9218" width="11.85546875" style="3" customWidth="1"/>
    <col min="9219" max="9235" width="9.140625" style="3" customWidth="1"/>
    <col min="9236" max="9471" width="9" style="3"/>
    <col min="9472" max="9472" width="5.42578125" style="3" customWidth="1"/>
    <col min="9473" max="9473" width="18" style="3" customWidth="1"/>
    <col min="9474" max="9474" width="11.85546875" style="3" customWidth="1"/>
    <col min="9475" max="9491" width="9.140625" style="3" customWidth="1"/>
    <col min="9492" max="9727" width="9" style="3"/>
    <col min="9728" max="9728" width="5.42578125" style="3" customWidth="1"/>
    <col min="9729" max="9729" width="18" style="3" customWidth="1"/>
    <col min="9730" max="9730" width="11.85546875" style="3" customWidth="1"/>
    <col min="9731" max="9747" width="9.140625" style="3" customWidth="1"/>
    <col min="9748" max="9983" width="9" style="3"/>
    <col min="9984" max="9984" width="5.42578125" style="3" customWidth="1"/>
    <col min="9985" max="9985" width="18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42578125" style="3" customWidth="1"/>
    <col min="10241" max="10241" width="18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42578125" style="3" customWidth="1"/>
    <col min="10497" max="10497" width="18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42578125" style="3" customWidth="1"/>
    <col min="10753" max="10753" width="18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42578125" style="3" customWidth="1"/>
    <col min="11009" max="11009" width="18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42578125" style="3" customWidth="1"/>
    <col min="11265" max="11265" width="18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42578125" style="3" customWidth="1"/>
    <col min="11521" max="11521" width="18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42578125" style="3" customWidth="1"/>
    <col min="11777" max="11777" width="18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42578125" style="3" customWidth="1"/>
    <col min="12033" max="12033" width="18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42578125" style="3" customWidth="1"/>
    <col min="12289" max="12289" width="18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42578125" style="3" customWidth="1"/>
    <col min="12545" max="12545" width="18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42578125" style="3" customWidth="1"/>
    <col min="12801" max="12801" width="18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42578125" style="3" customWidth="1"/>
    <col min="13057" max="13057" width="18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42578125" style="3" customWidth="1"/>
    <col min="13313" max="13313" width="18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42578125" style="3" customWidth="1"/>
    <col min="13569" max="13569" width="18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42578125" style="3" customWidth="1"/>
    <col min="13825" max="13825" width="18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42578125" style="3" customWidth="1"/>
    <col min="14081" max="14081" width="18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42578125" style="3" customWidth="1"/>
    <col min="14337" max="14337" width="18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42578125" style="3" customWidth="1"/>
    <col min="14593" max="14593" width="18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42578125" style="3" customWidth="1"/>
    <col min="14849" max="14849" width="18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42578125" style="3" customWidth="1"/>
    <col min="15105" max="15105" width="18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42578125" style="3" customWidth="1"/>
    <col min="15361" max="15361" width="18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42578125" style="3" customWidth="1"/>
    <col min="15617" max="15617" width="18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42578125" style="3" customWidth="1"/>
    <col min="15873" max="15873" width="18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42578125" style="3" customWidth="1"/>
    <col min="16129" max="16129" width="18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71.75" customHeight="1" thickBot="1" x14ac:dyDescent="0.3">
      <c r="A2" s="80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78" t="s">
        <v>4</v>
      </c>
      <c r="B3" s="14" t="s">
        <v>52</v>
      </c>
      <c r="C3" s="15" t="s">
        <v>53</v>
      </c>
      <c r="D3" s="171">
        <f>100-(57.4-55.33)/55.33*50</f>
        <v>98.129405385866619</v>
      </c>
      <c r="E3" s="17">
        <f>100-(87.42-87.42)/87.42*50</f>
        <v>100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38"/>
      <c r="S3" s="20">
        <f>SUM(D3:R3)-M3-H3-O3-P3-Q3-R3</f>
        <v>198.12940538586662</v>
      </c>
    </row>
    <row r="4" spans="1:21" x14ac:dyDescent="0.25">
      <c r="A4" s="81" t="s">
        <v>6</v>
      </c>
      <c r="B4" s="23" t="s">
        <v>110</v>
      </c>
      <c r="C4" s="24"/>
      <c r="D4" s="172">
        <f>100-(55.33-55.33)/55.33*50</f>
        <v>100</v>
      </c>
      <c r="E4" s="68" t="s">
        <v>12</v>
      </c>
      <c r="F4" s="56"/>
      <c r="G4" s="56"/>
      <c r="H4" s="56"/>
      <c r="I4" s="74"/>
      <c r="J4" s="25"/>
      <c r="K4" s="25"/>
      <c r="L4" s="56"/>
      <c r="M4" s="56"/>
      <c r="N4" s="25"/>
      <c r="O4" s="25"/>
      <c r="P4" s="25"/>
      <c r="Q4" s="25"/>
      <c r="R4" s="31"/>
      <c r="S4" s="26">
        <f>SUM(D4:R4)</f>
        <v>100</v>
      </c>
    </row>
    <row r="5" spans="1:21" x14ac:dyDescent="0.25">
      <c r="A5" s="81" t="s">
        <v>8</v>
      </c>
      <c r="B5" s="23" t="s">
        <v>111</v>
      </c>
      <c r="C5" s="24" t="s">
        <v>61</v>
      </c>
      <c r="D5" s="30">
        <f>100-(56.95-55.33)/55.33*50</f>
        <v>98.536056388939087</v>
      </c>
      <c r="E5" s="91"/>
      <c r="F5" s="56"/>
      <c r="G5" s="25"/>
      <c r="H5" s="18"/>
      <c r="I5" s="18"/>
      <c r="J5" s="21"/>
      <c r="K5" s="56"/>
      <c r="L5" s="56"/>
      <c r="M5" s="25"/>
      <c r="N5" s="56"/>
      <c r="O5" s="56"/>
      <c r="P5" s="56"/>
      <c r="Q5" s="56"/>
      <c r="R5" s="141"/>
      <c r="S5" s="26">
        <f>SUM(D5:R5)</f>
        <v>98.536056388939087</v>
      </c>
    </row>
    <row r="6" spans="1:21" x14ac:dyDescent="0.25">
      <c r="A6" s="81" t="s">
        <v>11</v>
      </c>
      <c r="B6" s="23" t="s">
        <v>112</v>
      </c>
      <c r="C6" s="24" t="s">
        <v>50</v>
      </c>
      <c r="D6" s="169">
        <f>100-(70.3-55.33)/55.33*50</f>
        <v>86.472076631122363</v>
      </c>
      <c r="E6" s="91"/>
      <c r="F6" s="25"/>
      <c r="G6" s="18"/>
      <c r="H6" s="18"/>
      <c r="I6" s="18"/>
      <c r="J6" s="179"/>
      <c r="K6" s="56"/>
      <c r="L6" s="56"/>
      <c r="M6" s="25"/>
      <c r="N6" s="21"/>
      <c r="O6" s="25"/>
      <c r="P6" s="25"/>
      <c r="Q6" s="25"/>
      <c r="R6" s="139"/>
      <c r="S6" s="26">
        <f>SUM(D6:R6)</f>
        <v>86.472076631122363</v>
      </c>
    </row>
    <row r="7" spans="1:21" x14ac:dyDescent="0.25">
      <c r="A7" s="81" t="s">
        <v>13</v>
      </c>
      <c r="B7" s="23" t="s">
        <v>113</v>
      </c>
      <c r="C7" s="24" t="s">
        <v>19</v>
      </c>
      <c r="D7" s="30">
        <f>100-(84.83-55.33)/55.33*50</f>
        <v>73.341767576360027</v>
      </c>
      <c r="E7" s="68" t="s">
        <v>12</v>
      </c>
      <c r="F7" s="21"/>
      <c r="G7" s="21"/>
      <c r="H7" s="18"/>
      <c r="I7" s="18"/>
      <c r="J7" s="21"/>
      <c r="K7" s="18"/>
      <c r="L7" s="25"/>
      <c r="M7" s="21"/>
      <c r="N7" s="21"/>
      <c r="O7" s="21"/>
      <c r="P7" s="21"/>
      <c r="Q7" s="21"/>
      <c r="R7" s="24"/>
      <c r="S7" s="26">
        <f>SUM(D7:R7)</f>
        <v>73.341767576360027</v>
      </c>
    </row>
    <row r="8" spans="1:21" x14ac:dyDescent="0.25">
      <c r="A8" s="81" t="s">
        <v>15</v>
      </c>
      <c r="B8" s="23" t="s">
        <v>71</v>
      </c>
      <c r="C8" s="24" t="s">
        <v>38</v>
      </c>
      <c r="D8" s="30">
        <f>100-(91.7-55.33)/55.33*50</f>
        <v>67.13356226278691</v>
      </c>
      <c r="E8" s="56"/>
      <c r="F8" s="56"/>
      <c r="G8" s="21"/>
      <c r="H8" s="18"/>
      <c r="I8" s="21"/>
      <c r="J8" s="25"/>
      <c r="K8" s="18"/>
      <c r="L8" s="18"/>
      <c r="M8" s="25"/>
      <c r="N8" s="21"/>
      <c r="O8" s="21"/>
      <c r="P8" s="21"/>
      <c r="Q8" s="21"/>
      <c r="R8" s="139"/>
      <c r="S8" s="26">
        <f>SUM(D8:R8)</f>
        <v>67.13356226278691</v>
      </c>
    </row>
    <row r="9" spans="1:21" x14ac:dyDescent="0.25">
      <c r="A9" s="81" t="s">
        <v>18</v>
      </c>
      <c r="B9" s="93" t="s">
        <v>54</v>
      </c>
      <c r="C9" s="94" t="s">
        <v>36</v>
      </c>
      <c r="D9" s="30"/>
      <c r="E9" s="96">
        <f>100-(94.02-87.42)/87.42*50</f>
        <v>96.225120109814696</v>
      </c>
      <c r="F9" s="96"/>
      <c r="G9" s="18"/>
      <c r="H9" s="18"/>
      <c r="I9" s="18"/>
      <c r="J9" s="18"/>
      <c r="K9" s="18"/>
      <c r="L9" s="18"/>
      <c r="M9" s="18"/>
      <c r="N9" s="36"/>
      <c r="O9" s="18"/>
      <c r="P9" s="18"/>
      <c r="Q9" s="18"/>
      <c r="R9" s="139"/>
      <c r="S9" s="26">
        <f>SUM(D9:R9)-G9-O9-E9-R9</f>
        <v>0</v>
      </c>
    </row>
    <row r="10" spans="1:21" x14ac:dyDescent="0.25">
      <c r="A10" s="81" t="s">
        <v>20</v>
      </c>
      <c r="B10" s="23"/>
      <c r="C10" s="24"/>
      <c r="D10" s="30"/>
      <c r="E10" s="18"/>
      <c r="F10" s="18"/>
      <c r="G10" s="102"/>
      <c r="H10" s="102"/>
      <c r="I10" s="102"/>
      <c r="J10" s="18"/>
      <c r="K10" s="18"/>
      <c r="L10" s="18"/>
      <c r="M10" s="18"/>
      <c r="N10" s="18"/>
      <c r="O10" s="18"/>
      <c r="P10" s="25"/>
      <c r="Q10" s="25"/>
      <c r="R10" s="141"/>
      <c r="S10" s="26">
        <f>SUM(D10:R10)-E10-O10-R10-L10</f>
        <v>0</v>
      </c>
    </row>
    <row r="11" spans="1:21" x14ac:dyDescent="0.25">
      <c r="A11" s="81" t="s">
        <v>22</v>
      </c>
      <c r="B11" s="23"/>
      <c r="C11" s="24"/>
      <c r="D11" s="30"/>
      <c r="E11" s="102"/>
      <c r="F11" s="18"/>
      <c r="G11" s="18"/>
      <c r="H11" s="18"/>
      <c r="I11" s="18"/>
      <c r="J11" s="91"/>
      <c r="K11" s="25"/>
      <c r="L11" s="18"/>
      <c r="M11" s="18"/>
      <c r="N11" s="25"/>
      <c r="O11" s="25"/>
      <c r="P11" s="18"/>
      <c r="Q11" s="25"/>
      <c r="R11" s="139"/>
      <c r="S11" s="26">
        <f>SUM(D11:R11)</f>
        <v>0</v>
      </c>
    </row>
    <row r="12" spans="1:21" x14ac:dyDescent="0.25">
      <c r="A12" s="81" t="s">
        <v>25</v>
      </c>
      <c r="B12" s="23"/>
      <c r="C12" s="24"/>
      <c r="D12" s="111"/>
      <c r="E12" s="21"/>
      <c r="F12" s="21"/>
      <c r="G12" s="21"/>
      <c r="H12" s="21"/>
      <c r="I12" s="21"/>
      <c r="J12" s="21"/>
      <c r="K12" s="21"/>
      <c r="L12" s="21"/>
      <c r="M12" s="18"/>
      <c r="N12" s="18"/>
      <c r="O12" s="18"/>
      <c r="P12" s="18"/>
      <c r="Q12" s="18"/>
      <c r="R12" s="141"/>
      <c r="S12" s="26">
        <f>SUM(D12:R12)</f>
        <v>0</v>
      </c>
    </row>
    <row r="13" spans="1:21" x14ac:dyDescent="0.25">
      <c r="A13" s="81" t="s">
        <v>26</v>
      </c>
      <c r="B13" s="23"/>
      <c r="C13" s="24"/>
      <c r="D13" s="111"/>
      <c r="E13" s="21"/>
      <c r="F13" s="56"/>
      <c r="G13" s="25"/>
      <c r="H13" s="18"/>
      <c r="I13" s="36"/>
      <c r="J13" s="21"/>
      <c r="K13" s="37"/>
      <c r="L13" s="18"/>
      <c r="M13" s="37"/>
      <c r="N13" s="148"/>
      <c r="O13" s="21"/>
      <c r="P13" s="21"/>
      <c r="Q13" s="21"/>
      <c r="R13" s="139"/>
      <c r="S13" s="26">
        <f>SUM(D13:R13)</f>
        <v>0</v>
      </c>
    </row>
    <row r="14" spans="1:21" ht="15.75" thickBot="1" x14ac:dyDescent="0.3">
      <c r="A14" s="82" t="s">
        <v>28</v>
      </c>
      <c r="B14" s="39"/>
      <c r="C14" s="40"/>
      <c r="D14" s="129"/>
      <c r="E14" s="42"/>
      <c r="F14" s="59"/>
      <c r="G14" s="42"/>
      <c r="H14" s="45"/>
      <c r="I14" s="45"/>
      <c r="J14" s="42"/>
      <c r="K14" s="42"/>
      <c r="L14" s="59"/>
      <c r="M14" s="59"/>
      <c r="N14" s="42"/>
      <c r="O14" s="42"/>
      <c r="P14" s="42"/>
      <c r="Q14" s="45"/>
      <c r="R14" s="86"/>
      <c r="S14" s="46">
        <f>SUM(D14:R14)</f>
        <v>0</v>
      </c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7"/>
      <c r="O15" s="47"/>
      <c r="P15" s="47"/>
      <c r="Q15" s="47"/>
      <c r="R15" s="49"/>
      <c r="S15" s="50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7"/>
      <c r="O16" s="47"/>
      <c r="P16" s="47"/>
      <c r="Q16" s="47"/>
      <c r="R16" s="2"/>
      <c r="S16" s="50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7"/>
      <c r="O17" s="2"/>
      <c r="P17" s="2"/>
      <c r="Q17" s="2"/>
      <c r="R17" s="2"/>
      <c r="S17" s="2"/>
    </row>
    <row r="18" spans="1:19" s="52" customFormat="1" x14ac:dyDescent="0.25">
      <c r="A18" s="52" t="s">
        <v>34</v>
      </c>
    </row>
    <row r="19" spans="1:19" s="53" customFormat="1" x14ac:dyDescent="0.25">
      <c r="A19" s="53" t="s">
        <v>35</v>
      </c>
    </row>
  </sheetData>
  <sortState ref="B3:S14">
    <sortCondition descending="1" ref="S3"/>
  </sortState>
  <mergeCells count="1">
    <mergeCell ref="A1:S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workbookViewId="0">
      <selection activeCell="P19" sqref="P19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54" customWidth="1"/>
    <col min="7" max="19" width="9.140625" style="3" customWidth="1"/>
    <col min="20" max="29" width="9" style="2"/>
    <col min="30" max="255" width="9" style="3"/>
    <col min="256" max="256" width="5.140625" style="3" customWidth="1"/>
    <col min="257" max="257" width="19.85546875" style="3" customWidth="1"/>
    <col min="258" max="258" width="11.85546875" style="3" customWidth="1"/>
    <col min="259" max="275" width="9.140625" style="3" customWidth="1"/>
    <col min="276" max="511" width="9" style="3"/>
    <col min="512" max="512" width="5.140625" style="3" customWidth="1"/>
    <col min="513" max="513" width="19.85546875" style="3" customWidth="1"/>
    <col min="514" max="514" width="11.85546875" style="3" customWidth="1"/>
    <col min="515" max="531" width="9.140625" style="3" customWidth="1"/>
    <col min="532" max="767" width="9" style="3"/>
    <col min="768" max="768" width="5.140625" style="3" customWidth="1"/>
    <col min="769" max="769" width="19.85546875" style="3" customWidth="1"/>
    <col min="770" max="770" width="11.85546875" style="3" customWidth="1"/>
    <col min="771" max="787" width="9.140625" style="3" customWidth="1"/>
    <col min="788" max="1023" width="9" style="3"/>
    <col min="1024" max="1024" width="5.140625" style="3" customWidth="1"/>
    <col min="1025" max="1025" width="19.85546875" style="3" customWidth="1"/>
    <col min="1026" max="1026" width="11.85546875" style="3" customWidth="1"/>
    <col min="1027" max="1043" width="9.140625" style="3" customWidth="1"/>
    <col min="1044" max="1279" width="9" style="3"/>
    <col min="1280" max="1280" width="5.140625" style="3" customWidth="1"/>
    <col min="1281" max="1281" width="19.85546875" style="3" customWidth="1"/>
    <col min="1282" max="1282" width="11.85546875" style="3" customWidth="1"/>
    <col min="1283" max="1299" width="9.140625" style="3" customWidth="1"/>
    <col min="1300" max="1535" width="9" style="3"/>
    <col min="1536" max="1536" width="5.140625" style="3" customWidth="1"/>
    <col min="1537" max="1537" width="19.85546875" style="3" customWidth="1"/>
    <col min="1538" max="1538" width="11.85546875" style="3" customWidth="1"/>
    <col min="1539" max="1555" width="9.140625" style="3" customWidth="1"/>
    <col min="1556" max="1791" width="9" style="3"/>
    <col min="1792" max="1792" width="5.140625" style="3" customWidth="1"/>
    <col min="1793" max="1793" width="19.85546875" style="3" customWidth="1"/>
    <col min="1794" max="1794" width="11.85546875" style="3" customWidth="1"/>
    <col min="1795" max="1811" width="9.140625" style="3" customWidth="1"/>
    <col min="1812" max="2047" width="9" style="3"/>
    <col min="2048" max="2048" width="5.140625" style="3" customWidth="1"/>
    <col min="2049" max="2049" width="19.85546875" style="3" customWidth="1"/>
    <col min="2050" max="2050" width="11.85546875" style="3" customWidth="1"/>
    <col min="2051" max="2067" width="9.140625" style="3" customWidth="1"/>
    <col min="2068" max="2303" width="9" style="3"/>
    <col min="2304" max="2304" width="5.140625" style="3" customWidth="1"/>
    <col min="2305" max="2305" width="19.85546875" style="3" customWidth="1"/>
    <col min="2306" max="2306" width="11.85546875" style="3" customWidth="1"/>
    <col min="2307" max="2323" width="9.140625" style="3" customWidth="1"/>
    <col min="2324" max="2559" width="9" style="3"/>
    <col min="2560" max="2560" width="5.140625" style="3" customWidth="1"/>
    <col min="2561" max="2561" width="19.85546875" style="3" customWidth="1"/>
    <col min="2562" max="2562" width="11.85546875" style="3" customWidth="1"/>
    <col min="2563" max="2579" width="9.140625" style="3" customWidth="1"/>
    <col min="2580" max="2815" width="9" style="3"/>
    <col min="2816" max="2816" width="5.140625" style="3" customWidth="1"/>
    <col min="2817" max="2817" width="19.85546875" style="3" customWidth="1"/>
    <col min="2818" max="2818" width="11.85546875" style="3" customWidth="1"/>
    <col min="2819" max="2835" width="9.140625" style="3" customWidth="1"/>
    <col min="2836" max="3071" width="9" style="3"/>
    <col min="3072" max="3072" width="5.140625" style="3" customWidth="1"/>
    <col min="3073" max="3073" width="19.85546875" style="3" customWidth="1"/>
    <col min="3074" max="3074" width="11.85546875" style="3" customWidth="1"/>
    <col min="3075" max="3091" width="9.140625" style="3" customWidth="1"/>
    <col min="3092" max="3327" width="9" style="3"/>
    <col min="3328" max="3328" width="5.140625" style="3" customWidth="1"/>
    <col min="3329" max="3329" width="19.85546875" style="3" customWidth="1"/>
    <col min="3330" max="3330" width="11.85546875" style="3" customWidth="1"/>
    <col min="3331" max="3347" width="9.140625" style="3" customWidth="1"/>
    <col min="3348" max="3583" width="9" style="3"/>
    <col min="3584" max="3584" width="5.140625" style="3" customWidth="1"/>
    <col min="3585" max="3585" width="19.85546875" style="3" customWidth="1"/>
    <col min="3586" max="3586" width="11.85546875" style="3" customWidth="1"/>
    <col min="3587" max="3603" width="9.140625" style="3" customWidth="1"/>
    <col min="3604" max="3839" width="9" style="3"/>
    <col min="3840" max="3840" width="5.140625" style="3" customWidth="1"/>
    <col min="3841" max="3841" width="19.85546875" style="3" customWidth="1"/>
    <col min="3842" max="3842" width="11.85546875" style="3" customWidth="1"/>
    <col min="3843" max="3859" width="9.140625" style="3" customWidth="1"/>
    <col min="3860" max="4095" width="9" style="3"/>
    <col min="4096" max="4096" width="5.140625" style="3" customWidth="1"/>
    <col min="4097" max="4097" width="19.85546875" style="3" customWidth="1"/>
    <col min="4098" max="4098" width="11.85546875" style="3" customWidth="1"/>
    <col min="4099" max="4115" width="9.140625" style="3" customWidth="1"/>
    <col min="4116" max="4351" width="9" style="3"/>
    <col min="4352" max="4352" width="5.140625" style="3" customWidth="1"/>
    <col min="4353" max="4353" width="19.85546875" style="3" customWidth="1"/>
    <col min="4354" max="4354" width="11.85546875" style="3" customWidth="1"/>
    <col min="4355" max="4371" width="9.140625" style="3" customWidth="1"/>
    <col min="4372" max="4607" width="9" style="3"/>
    <col min="4608" max="4608" width="5.140625" style="3" customWidth="1"/>
    <col min="4609" max="4609" width="19.85546875" style="3" customWidth="1"/>
    <col min="4610" max="4610" width="11.85546875" style="3" customWidth="1"/>
    <col min="4611" max="4627" width="9.140625" style="3" customWidth="1"/>
    <col min="4628" max="4863" width="9" style="3"/>
    <col min="4864" max="4864" width="5.140625" style="3" customWidth="1"/>
    <col min="4865" max="4865" width="19.85546875" style="3" customWidth="1"/>
    <col min="4866" max="4866" width="11.85546875" style="3" customWidth="1"/>
    <col min="4867" max="4883" width="9.140625" style="3" customWidth="1"/>
    <col min="4884" max="5119" width="9" style="3"/>
    <col min="5120" max="5120" width="5.140625" style="3" customWidth="1"/>
    <col min="5121" max="5121" width="19.85546875" style="3" customWidth="1"/>
    <col min="5122" max="5122" width="11.85546875" style="3" customWidth="1"/>
    <col min="5123" max="5139" width="9.140625" style="3" customWidth="1"/>
    <col min="5140" max="5375" width="9" style="3"/>
    <col min="5376" max="5376" width="5.140625" style="3" customWidth="1"/>
    <col min="5377" max="5377" width="19.85546875" style="3" customWidth="1"/>
    <col min="5378" max="5378" width="11.85546875" style="3" customWidth="1"/>
    <col min="5379" max="5395" width="9.140625" style="3" customWidth="1"/>
    <col min="5396" max="5631" width="9" style="3"/>
    <col min="5632" max="5632" width="5.140625" style="3" customWidth="1"/>
    <col min="5633" max="5633" width="19.85546875" style="3" customWidth="1"/>
    <col min="5634" max="5634" width="11.85546875" style="3" customWidth="1"/>
    <col min="5635" max="5651" width="9.140625" style="3" customWidth="1"/>
    <col min="5652" max="5887" width="9" style="3"/>
    <col min="5888" max="5888" width="5.140625" style="3" customWidth="1"/>
    <col min="5889" max="5889" width="19.85546875" style="3" customWidth="1"/>
    <col min="5890" max="5890" width="11.85546875" style="3" customWidth="1"/>
    <col min="5891" max="5907" width="9.140625" style="3" customWidth="1"/>
    <col min="5908" max="6143" width="9" style="3"/>
    <col min="6144" max="6144" width="5.140625" style="3" customWidth="1"/>
    <col min="6145" max="6145" width="19.85546875" style="3" customWidth="1"/>
    <col min="6146" max="6146" width="11.85546875" style="3" customWidth="1"/>
    <col min="6147" max="6163" width="9.140625" style="3" customWidth="1"/>
    <col min="6164" max="6399" width="9" style="3"/>
    <col min="6400" max="6400" width="5.140625" style="3" customWidth="1"/>
    <col min="6401" max="6401" width="19.85546875" style="3" customWidth="1"/>
    <col min="6402" max="6402" width="11.85546875" style="3" customWidth="1"/>
    <col min="6403" max="6419" width="9.140625" style="3" customWidth="1"/>
    <col min="6420" max="6655" width="9" style="3"/>
    <col min="6656" max="6656" width="5.140625" style="3" customWidth="1"/>
    <col min="6657" max="6657" width="19.85546875" style="3" customWidth="1"/>
    <col min="6658" max="6658" width="11.85546875" style="3" customWidth="1"/>
    <col min="6659" max="6675" width="9.140625" style="3" customWidth="1"/>
    <col min="6676" max="6911" width="9" style="3"/>
    <col min="6912" max="6912" width="5.140625" style="3" customWidth="1"/>
    <col min="6913" max="6913" width="19.85546875" style="3" customWidth="1"/>
    <col min="6914" max="6914" width="11.85546875" style="3" customWidth="1"/>
    <col min="6915" max="6931" width="9.140625" style="3" customWidth="1"/>
    <col min="6932" max="7167" width="9" style="3"/>
    <col min="7168" max="7168" width="5.140625" style="3" customWidth="1"/>
    <col min="7169" max="7169" width="19.85546875" style="3" customWidth="1"/>
    <col min="7170" max="7170" width="11.85546875" style="3" customWidth="1"/>
    <col min="7171" max="7187" width="9.140625" style="3" customWidth="1"/>
    <col min="7188" max="7423" width="9" style="3"/>
    <col min="7424" max="7424" width="5.140625" style="3" customWidth="1"/>
    <col min="7425" max="7425" width="19.85546875" style="3" customWidth="1"/>
    <col min="7426" max="7426" width="11.85546875" style="3" customWidth="1"/>
    <col min="7427" max="7443" width="9.140625" style="3" customWidth="1"/>
    <col min="7444" max="7679" width="9" style="3"/>
    <col min="7680" max="7680" width="5.140625" style="3" customWidth="1"/>
    <col min="7681" max="7681" width="19.85546875" style="3" customWidth="1"/>
    <col min="7682" max="7682" width="11.85546875" style="3" customWidth="1"/>
    <col min="7683" max="7699" width="9.140625" style="3" customWidth="1"/>
    <col min="7700" max="7935" width="9" style="3"/>
    <col min="7936" max="7936" width="5.140625" style="3" customWidth="1"/>
    <col min="7937" max="7937" width="19.85546875" style="3" customWidth="1"/>
    <col min="7938" max="7938" width="11.85546875" style="3" customWidth="1"/>
    <col min="7939" max="7955" width="9.140625" style="3" customWidth="1"/>
    <col min="7956" max="8191" width="9" style="3"/>
    <col min="8192" max="8192" width="5.140625" style="3" customWidth="1"/>
    <col min="8193" max="8193" width="19.85546875" style="3" customWidth="1"/>
    <col min="8194" max="8194" width="11.85546875" style="3" customWidth="1"/>
    <col min="8195" max="8211" width="9.140625" style="3" customWidth="1"/>
    <col min="8212" max="8447" width="9" style="3"/>
    <col min="8448" max="8448" width="5.140625" style="3" customWidth="1"/>
    <col min="8449" max="8449" width="19.85546875" style="3" customWidth="1"/>
    <col min="8450" max="8450" width="11.85546875" style="3" customWidth="1"/>
    <col min="8451" max="8467" width="9.140625" style="3" customWidth="1"/>
    <col min="8468" max="8703" width="9" style="3"/>
    <col min="8704" max="8704" width="5.140625" style="3" customWidth="1"/>
    <col min="8705" max="8705" width="19.85546875" style="3" customWidth="1"/>
    <col min="8706" max="8706" width="11.85546875" style="3" customWidth="1"/>
    <col min="8707" max="8723" width="9.140625" style="3" customWidth="1"/>
    <col min="8724" max="8959" width="9" style="3"/>
    <col min="8960" max="8960" width="5.140625" style="3" customWidth="1"/>
    <col min="8961" max="8961" width="19.85546875" style="3" customWidth="1"/>
    <col min="8962" max="8962" width="11.85546875" style="3" customWidth="1"/>
    <col min="8963" max="8979" width="9.140625" style="3" customWidth="1"/>
    <col min="8980" max="9215" width="9" style="3"/>
    <col min="9216" max="9216" width="5.140625" style="3" customWidth="1"/>
    <col min="9217" max="9217" width="19.85546875" style="3" customWidth="1"/>
    <col min="9218" max="9218" width="11.85546875" style="3" customWidth="1"/>
    <col min="9219" max="9235" width="9.140625" style="3" customWidth="1"/>
    <col min="9236" max="9471" width="9" style="3"/>
    <col min="9472" max="9472" width="5.140625" style="3" customWidth="1"/>
    <col min="9473" max="9473" width="19.85546875" style="3" customWidth="1"/>
    <col min="9474" max="9474" width="11.85546875" style="3" customWidth="1"/>
    <col min="9475" max="9491" width="9.140625" style="3" customWidth="1"/>
    <col min="9492" max="9727" width="9" style="3"/>
    <col min="9728" max="9728" width="5.140625" style="3" customWidth="1"/>
    <col min="9729" max="9729" width="19.85546875" style="3" customWidth="1"/>
    <col min="9730" max="9730" width="11.85546875" style="3" customWidth="1"/>
    <col min="9731" max="9747" width="9.140625" style="3" customWidth="1"/>
    <col min="9748" max="9983" width="9" style="3"/>
    <col min="9984" max="9984" width="5.140625" style="3" customWidth="1"/>
    <col min="9985" max="9985" width="19.85546875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19.85546875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19.85546875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19.85546875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19.85546875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19.85546875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19.85546875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19.85546875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19.85546875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19.85546875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19.85546875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19.85546875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19.85546875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19.85546875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19.85546875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19.85546875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19.85546875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19.85546875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19.85546875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19.85546875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19.85546875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19.85546875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19.85546875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19.85546875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19.85546875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74" customHeight="1" thickBot="1" x14ac:dyDescent="0.3">
      <c r="A2" s="4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13" t="s">
        <v>4</v>
      </c>
      <c r="B3" s="14" t="s">
        <v>77</v>
      </c>
      <c r="C3" s="15" t="s">
        <v>44</v>
      </c>
      <c r="D3" s="173">
        <f>100-(62.12-48.92)/48.92*50</f>
        <v>86.508585445625513</v>
      </c>
      <c r="E3" s="17">
        <f>100-(62-45.33)/45.33*50</f>
        <v>81.612618574895208</v>
      </c>
      <c r="F3" s="177"/>
      <c r="G3" s="55"/>
      <c r="H3" s="55"/>
      <c r="I3" s="55"/>
      <c r="J3" s="17"/>
      <c r="K3" s="17"/>
      <c r="L3" s="17"/>
      <c r="M3" s="55"/>
      <c r="N3" s="55"/>
      <c r="O3" s="55"/>
      <c r="P3" s="55"/>
      <c r="Q3" s="55"/>
      <c r="R3" s="138"/>
      <c r="S3" s="20">
        <f>SUM(D3:R3)</f>
        <v>168.12120402052074</v>
      </c>
    </row>
    <row r="4" spans="1:21" x14ac:dyDescent="0.25">
      <c r="A4" s="22" t="s">
        <v>6</v>
      </c>
      <c r="B4" s="111" t="s">
        <v>62</v>
      </c>
      <c r="C4" s="31" t="s">
        <v>53</v>
      </c>
      <c r="D4" s="30">
        <f>100-(62.5-48.92)/48.92*50</f>
        <v>86.12019623875716</v>
      </c>
      <c r="E4" s="18">
        <f>100-(70.92-45.33)/45.33*50</f>
        <v>71.773659827928526</v>
      </c>
      <c r="F4" s="25"/>
      <c r="G4" s="25"/>
      <c r="H4" s="56"/>
      <c r="I4" s="56"/>
      <c r="J4" s="25"/>
      <c r="K4" s="25"/>
      <c r="L4" s="25"/>
      <c r="M4" s="25"/>
      <c r="N4" s="21"/>
      <c r="O4" s="21"/>
      <c r="P4" s="21"/>
      <c r="Q4" s="56"/>
      <c r="R4" s="139"/>
      <c r="S4" s="26">
        <f>SUM(D4:R4)</f>
        <v>157.89385606668569</v>
      </c>
    </row>
    <row r="5" spans="1:21" x14ac:dyDescent="0.25">
      <c r="A5" s="22" t="s">
        <v>8</v>
      </c>
      <c r="B5" s="23" t="s">
        <v>55</v>
      </c>
      <c r="C5" s="24" t="s">
        <v>7</v>
      </c>
      <c r="D5" s="30">
        <f>100-(100.67-48.92)/48.92*50</f>
        <v>47.107522485690922</v>
      </c>
      <c r="E5" s="18">
        <f>100-(79.03-45.33)/45.33*50</f>
        <v>62.828149128612395</v>
      </c>
      <c r="F5" s="25"/>
      <c r="G5" s="25"/>
      <c r="H5" s="25"/>
      <c r="I5" s="21"/>
      <c r="J5" s="18"/>
      <c r="K5" s="91"/>
      <c r="L5" s="25"/>
      <c r="M5" s="56"/>
      <c r="N5" s="18"/>
      <c r="O5" s="25"/>
      <c r="P5" s="25"/>
      <c r="Q5" s="25"/>
      <c r="R5" s="139"/>
      <c r="S5" s="26">
        <f>SUM(D5:R5)</f>
        <v>109.93567161430332</v>
      </c>
    </row>
    <row r="6" spans="1:21" x14ac:dyDescent="0.25">
      <c r="A6" s="22" t="s">
        <v>11</v>
      </c>
      <c r="B6" s="23" t="s">
        <v>111</v>
      </c>
      <c r="C6" s="24" t="s">
        <v>61</v>
      </c>
      <c r="D6" s="30"/>
      <c r="E6" s="18">
        <f>100-(45.33-45.33)/45.33*50</f>
        <v>100</v>
      </c>
      <c r="F6" s="25"/>
      <c r="G6" s="25"/>
      <c r="H6" s="102"/>
      <c r="I6" s="18"/>
      <c r="J6" s="25"/>
      <c r="K6" s="91"/>
      <c r="L6" s="18"/>
      <c r="M6" s="18"/>
      <c r="N6" s="68"/>
      <c r="O6" s="18"/>
      <c r="P6" s="18"/>
      <c r="Q6" s="25"/>
      <c r="R6" s="141"/>
      <c r="S6" s="26">
        <f>SUM(D6:R6)-I6-J6</f>
        <v>100</v>
      </c>
    </row>
    <row r="7" spans="1:21" x14ac:dyDescent="0.25">
      <c r="A7" s="22" t="s">
        <v>13</v>
      </c>
      <c r="B7" s="23" t="s">
        <v>114</v>
      </c>
      <c r="C7" s="24" t="s">
        <v>61</v>
      </c>
      <c r="D7" s="30">
        <f>100-(48.92-48.92)/48.92*50</f>
        <v>100</v>
      </c>
      <c r="E7" s="102" t="s">
        <v>12</v>
      </c>
      <c r="F7" s="69"/>
      <c r="G7" s="56"/>
      <c r="H7" s="21"/>
      <c r="I7" s="21"/>
      <c r="J7" s="25"/>
      <c r="K7" s="25"/>
      <c r="L7" s="18"/>
      <c r="M7" s="18"/>
      <c r="N7" s="18"/>
      <c r="O7" s="18"/>
      <c r="P7" s="18"/>
      <c r="Q7" s="25"/>
      <c r="R7" s="31"/>
      <c r="S7" s="26">
        <f>SUM(D7:R7)</f>
        <v>100</v>
      </c>
    </row>
    <row r="8" spans="1:21" x14ac:dyDescent="0.25">
      <c r="A8" s="22" t="s">
        <v>15</v>
      </c>
      <c r="B8" s="23" t="s">
        <v>123</v>
      </c>
      <c r="C8" s="24" t="s">
        <v>124</v>
      </c>
      <c r="D8" s="23"/>
      <c r="E8" s="18">
        <f>100-(61.77-45.33)/45.33*50</f>
        <v>81.866313699536732</v>
      </c>
      <c r="F8" s="25"/>
      <c r="G8" s="25"/>
      <c r="H8" s="18"/>
      <c r="I8" s="21"/>
      <c r="J8" s="25"/>
      <c r="K8" s="91"/>
      <c r="L8" s="18"/>
      <c r="M8" s="21"/>
      <c r="N8" s="18"/>
      <c r="O8" s="18"/>
      <c r="P8" s="18"/>
      <c r="Q8" s="25"/>
      <c r="R8" s="180"/>
      <c r="S8" s="26">
        <f>SUM(D8:R8)</f>
        <v>81.866313699536732</v>
      </c>
    </row>
    <row r="9" spans="1:21" x14ac:dyDescent="0.25">
      <c r="A9" s="22" t="s">
        <v>18</v>
      </c>
      <c r="B9" s="23" t="s">
        <v>125</v>
      </c>
      <c r="C9" s="24"/>
      <c r="D9" s="30"/>
      <c r="E9" s="18">
        <f>100-(88.42-45.33)/45.33*50</f>
        <v>52.470769909552168</v>
      </c>
      <c r="F9" s="25"/>
      <c r="G9" s="25"/>
      <c r="H9" s="21"/>
      <c r="I9" s="21"/>
      <c r="J9" s="25"/>
      <c r="K9" s="25"/>
      <c r="L9" s="18"/>
      <c r="M9" s="18"/>
      <c r="N9" s="21"/>
      <c r="O9" s="21"/>
      <c r="P9" s="21"/>
      <c r="Q9" s="21"/>
      <c r="R9" s="139"/>
      <c r="S9" s="26">
        <f>SUM(D9:R9)</f>
        <v>52.470769909552168</v>
      </c>
    </row>
    <row r="10" spans="1:21" ht="15.75" thickBot="1" x14ac:dyDescent="0.3">
      <c r="A10" s="38" t="s">
        <v>20</v>
      </c>
      <c r="B10" s="39" t="s">
        <v>115</v>
      </c>
      <c r="C10" s="40" t="s">
        <v>116</v>
      </c>
      <c r="D10" s="130" t="s">
        <v>12</v>
      </c>
      <c r="E10" s="45"/>
      <c r="F10" s="42"/>
      <c r="G10" s="42"/>
      <c r="H10" s="59"/>
      <c r="I10" s="59"/>
      <c r="J10" s="44"/>
      <c r="K10" s="42"/>
      <c r="L10" s="42"/>
      <c r="M10" s="42"/>
      <c r="N10" s="42"/>
      <c r="O10" s="42"/>
      <c r="P10" s="42"/>
      <c r="Q10" s="42"/>
      <c r="R10" s="142"/>
      <c r="S10" s="46">
        <f>SUM(D10:R10)</f>
        <v>0</v>
      </c>
    </row>
    <row r="11" spans="1:21" x14ac:dyDescent="0.25">
      <c r="A11" s="2"/>
      <c r="B11" s="2"/>
      <c r="C11" s="2"/>
      <c r="D11" s="2"/>
      <c r="E11" s="2"/>
      <c r="F11" s="51"/>
      <c r="G11" s="2"/>
      <c r="H11" s="2"/>
      <c r="I11" s="2"/>
      <c r="J11" s="2"/>
      <c r="K11" s="2"/>
      <c r="L11" s="2"/>
      <c r="M11" s="77"/>
      <c r="N11" s="2"/>
      <c r="O11" s="2"/>
      <c r="P11" s="2"/>
      <c r="Q11" s="2"/>
      <c r="R11" s="2"/>
      <c r="S11" s="50"/>
    </row>
    <row r="12" spans="1:21" x14ac:dyDescent="0.25">
      <c r="A12" s="2"/>
      <c r="B12" s="2"/>
      <c r="C12" s="2"/>
      <c r="D12" s="2"/>
      <c r="E12" s="2"/>
      <c r="F12" s="51"/>
      <c r="G12" s="2"/>
      <c r="H12" s="2"/>
      <c r="I12" s="2"/>
      <c r="J12" s="2"/>
      <c r="K12" s="2"/>
      <c r="L12" s="2"/>
      <c r="M12" s="2"/>
      <c r="N12" s="47"/>
      <c r="O12" s="47"/>
      <c r="P12" s="47"/>
      <c r="Q12" s="47"/>
      <c r="R12" s="2"/>
      <c r="S12" s="50"/>
    </row>
    <row r="13" spans="1:21" x14ac:dyDescent="0.25">
      <c r="A13" s="2"/>
      <c r="B13" s="2"/>
      <c r="C13" s="2"/>
      <c r="D13" s="2"/>
      <c r="E13" s="2"/>
      <c r="F13" s="5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1" s="52" customFormat="1" x14ac:dyDescent="0.25">
      <c r="A14" s="52" t="s">
        <v>34</v>
      </c>
    </row>
    <row r="15" spans="1:21" s="53" customFormat="1" x14ac:dyDescent="0.25">
      <c r="A15" s="53" t="s">
        <v>35</v>
      </c>
    </row>
  </sheetData>
  <sortState ref="B3:S10">
    <sortCondition descending="1" ref="S3"/>
  </sortState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B3" sqref="B3"/>
    </sheetView>
  </sheetViews>
  <sheetFormatPr defaultColWidth="9" defaultRowHeight="15" x14ac:dyDescent="0.25"/>
  <cols>
    <col min="1" max="1" width="5" style="3" customWidth="1"/>
    <col min="2" max="2" width="18.28515625" style="3" customWidth="1"/>
    <col min="3" max="3" width="17" style="3" customWidth="1"/>
    <col min="4" max="19" width="9.140625" style="3" customWidth="1"/>
    <col min="20" max="22" width="9" style="2"/>
    <col min="23" max="255" width="9" style="3"/>
    <col min="256" max="256" width="5" style="3" customWidth="1"/>
    <col min="257" max="257" width="20.7109375" style="3" customWidth="1"/>
    <col min="258" max="258" width="19.140625" style="3" customWidth="1"/>
    <col min="259" max="275" width="9.140625" style="3" customWidth="1"/>
    <col min="276" max="511" width="9" style="3"/>
    <col min="512" max="512" width="5" style="3" customWidth="1"/>
    <col min="513" max="513" width="20.7109375" style="3" customWidth="1"/>
    <col min="514" max="514" width="19.140625" style="3" customWidth="1"/>
    <col min="515" max="531" width="9.140625" style="3" customWidth="1"/>
    <col min="532" max="767" width="9" style="3"/>
    <col min="768" max="768" width="5" style="3" customWidth="1"/>
    <col min="769" max="769" width="20.7109375" style="3" customWidth="1"/>
    <col min="770" max="770" width="19.140625" style="3" customWidth="1"/>
    <col min="771" max="787" width="9.140625" style="3" customWidth="1"/>
    <col min="788" max="1023" width="9" style="3"/>
    <col min="1024" max="1024" width="5" style="3" customWidth="1"/>
    <col min="1025" max="1025" width="20.7109375" style="3" customWidth="1"/>
    <col min="1026" max="1026" width="19.140625" style="3" customWidth="1"/>
    <col min="1027" max="1043" width="9.140625" style="3" customWidth="1"/>
    <col min="1044" max="1279" width="9" style="3"/>
    <col min="1280" max="1280" width="5" style="3" customWidth="1"/>
    <col min="1281" max="1281" width="20.7109375" style="3" customWidth="1"/>
    <col min="1282" max="1282" width="19.140625" style="3" customWidth="1"/>
    <col min="1283" max="1299" width="9.140625" style="3" customWidth="1"/>
    <col min="1300" max="1535" width="9" style="3"/>
    <col min="1536" max="1536" width="5" style="3" customWidth="1"/>
    <col min="1537" max="1537" width="20.7109375" style="3" customWidth="1"/>
    <col min="1538" max="1538" width="19.140625" style="3" customWidth="1"/>
    <col min="1539" max="1555" width="9.140625" style="3" customWidth="1"/>
    <col min="1556" max="1791" width="9" style="3"/>
    <col min="1792" max="1792" width="5" style="3" customWidth="1"/>
    <col min="1793" max="1793" width="20.7109375" style="3" customWidth="1"/>
    <col min="1794" max="1794" width="19.140625" style="3" customWidth="1"/>
    <col min="1795" max="1811" width="9.140625" style="3" customWidth="1"/>
    <col min="1812" max="2047" width="9" style="3"/>
    <col min="2048" max="2048" width="5" style="3" customWidth="1"/>
    <col min="2049" max="2049" width="20.7109375" style="3" customWidth="1"/>
    <col min="2050" max="2050" width="19.140625" style="3" customWidth="1"/>
    <col min="2051" max="2067" width="9.140625" style="3" customWidth="1"/>
    <col min="2068" max="2303" width="9" style="3"/>
    <col min="2304" max="2304" width="5" style="3" customWidth="1"/>
    <col min="2305" max="2305" width="20.7109375" style="3" customWidth="1"/>
    <col min="2306" max="2306" width="19.140625" style="3" customWidth="1"/>
    <col min="2307" max="2323" width="9.140625" style="3" customWidth="1"/>
    <col min="2324" max="2559" width="9" style="3"/>
    <col min="2560" max="2560" width="5" style="3" customWidth="1"/>
    <col min="2561" max="2561" width="20.7109375" style="3" customWidth="1"/>
    <col min="2562" max="2562" width="19.140625" style="3" customWidth="1"/>
    <col min="2563" max="2579" width="9.140625" style="3" customWidth="1"/>
    <col min="2580" max="2815" width="9" style="3"/>
    <col min="2816" max="2816" width="5" style="3" customWidth="1"/>
    <col min="2817" max="2817" width="20.7109375" style="3" customWidth="1"/>
    <col min="2818" max="2818" width="19.140625" style="3" customWidth="1"/>
    <col min="2819" max="2835" width="9.140625" style="3" customWidth="1"/>
    <col min="2836" max="3071" width="9" style="3"/>
    <col min="3072" max="3072" width="5" style="3" customWidth="1"/>
    <col min="3073" max="3073" width="20.7109375" style="3" customWidth="1"/>
    <col min="3074" max="3074" width="19.140625" style="3" customWidth="1"/>
    <col min="3075" max="3091" width="9.140625" style="3" customWidth="1"/>
    <col min="3092" max="3327" width="9" style="3"/>
    <col min="3328" max="3328" width="5" style="3" customWidth="1"/>
    <col min="3329" max="3329" width="20.7109375" style="3" customWidth="1"/>
    <col min="3330" max="3330" width="19.140625" style="3" customWidth="1"/>
    <col min="3331" max="3347" width="9.140625" style="3" customWidth="1"/>
    <col min="3348" max="3583" width="9" style="3"/>
    <col min="3584" max="3584" width="5" style="3" customWidth="1"/>
    <col min="3585" max="3585" width="20.7109375" style="3" customWidth="1"/>
    <col min="3586" max="3586" width="19.140625" style="3" customWidth="1"/>
    <col min="3587" max="3603" width="9.140625" style="3" customWidth="1"/>
    <col min="3604" max="3839" width="9" style="3"/>
    <col min="3840" max="3840" width="5" style="3" customWidth="1"/>
    <col min="3841" max="3841" width="20.7109375" style="3" customWidth="1"/>
    <col min="3842" max="3842" width="19.140625" style="3" customWidth="1"/>
    <col min="3843" max="3859" width="9.140625" style="3" customWidth="1"/>
    <col min="3860" max="4095" width="9" style="3"/>
    <col min="4096" max="4096" width="5" style="3" customWidth="1"/>
    <col min="4097" max="4097" width="20.7109375" style="3" customWidth="1"/>
    <col min="4098" max="4098" width="19.140625" style="3" customWidth="1"/>
    <col min="4099" max="4115" width="9.140625" style="3" customWidth="1"/>
    <col min="4116" max="4351" width="9" style="3"/>
    <col min="4352" max="4352" width="5" style="3" customWidth="1"/>
    <col min="4353" max="4353" width="20.7109375" style="3" customWidth="1"/>
    <col min="4354" max="4354" width="19.140625" style="3" customWidth="1"/>
    <col min="4355" max="4371" width="9.140625" style="3" customWidth="1"/>
    <col min="4372" max="4607" width="9" style="3"/>
    <col min="4608" max="4608" width="5" style="3" customWidth="1"/>
    <col min="4609" max="4609" width="20.7109375" style="3" customWidth="1"/>
    <col min="4610" max="4610" width="19.140625" style="3" customWidth="1"/>
    <col min="4611" max="4627" width="9.140625" style="3" customWidth="1"/>
    <col min="4628" max="4863" width="9" style="3"/>
    <col min="4864" max="4864" width="5" style="3" customWidth="1"/>
    <col min="4865" max="4865" width="20.7109375" style="3" customWidth="1"/>
    <col min="4866" max="4866" width="19.140625" style="3" customWidth="1"/>
    <col min="4867" max="4883" width="9.140625" style="3" customWidth="1"/>
    <col min="4884" max="5119" width="9" style="3"/>
    <col min="5120" max="5120" width="5" style="3" customWidth="1"/>
    <col min="5121" max="5121" width="20.7109375" style="3" customWidth="1"/>
    <col min="5122" max="5122" width="19.140625" style="3" customWidth="1"/>
    <col min="5123" max="5139" width="9.140625" style="3" customWidth="1"/>
    <col min="5140" max="5375" width="9" style="3"/>
    <col min="5376" max="5376" width="5" style="3" customWidth="1"/>
    <col min="5377" max="5377" width="20.7109375" style="3" customWidth="1"/>
    <col min="5378" max="5378" width="19.140625" style="3" customWidth="1"/>
    <col min="5379" max="5395" width="9.140625" style="3" customWidth="1"/>
    <col min="5396" max="5631" width="9" style="3"/>
    <col min="5632" max="5632" width="5" style="3" customWidth="1"/>
    <col min="5633" max="5633" width="20.7109375" style="3" customWidth="1"/>
    <col min="5634" max="5634" width="19.140625" style="3" customWidth="1"/>
    <col min="5635" max="5651" width="9.140625" style="3" customWidth="1"/>
    <col min="5652" max="5887" width="9" style="3"/>
    <col min="5888" max="5888" width="5" style="3" customWidth="1"/>
    <col min="5889" max="5889" width="20.7109375" style="3" customWidth="1"/>
    <col min="5890" max="5890" width="19.140625" style="3" customWidth="1"/>
    <col min="5891" max="5907" width="9.140625" style="3" customWidth="1"/>
    <col min="5908" max="6143" width="9" style="3"/>
    <col min="6144" max="6144" width="5" style="3" customWidth="1"/>
    <col min="6145" max="6145" width="20.7109375" style="3" customWidth="1"/>
    <col min="6146" max="6146" width="19.140625" style="3" customWidth="1"/>
    <col min="6147" max="6163" width="9.140625" style="3" customWidth="1"/>
    <col min="6164" max="6399" width="9" style="3"/>
    <col min="6400" max="6400" width="5" style="3" customWidth="1"/>
    <col min="6401" max="6401" width="20.7109375" style="3" customWidth="1"/>
    <col min="6402" max="6402" width="19.140625" style="3" customWidth="1"/>
    <col min="6403" max="6419" width="9.140625" style="3" customWidth="1"/>
    <col min="6420" max="6655" width="9" style="3"/>
    <col min="6656" max="6656" width="5" style="3" customWidth="1"/>
    <col min="6657" max="6657" width="20.7109375" style="3" customWidth="1"/>
    <col min="6658" max="6658" width="19.140625" style="3" customWidth="1"/>
    <col min="6659" max="6675" width="9.140625" style="3" customWidth="1"/>
    <col min="6676" max="6911" width="9" style="3"/>
    <col min="6912" max="6912" width="5" style="3" customWidth="1"/>
    <col min="6913" max="6913" width="20.7109375" style="3" customWidth="1"/>
    <col min="6914" max="6914" width="19.140625" style="3" customWidth="1"/>
    <col min="6915" max="6931" width="9.140625" style="3" customWidth="1"/>
    <col min="6932" max="7167" width="9" style="3"/>
    <col min="7168" max="7168" width="5" style="3" customWidth="1"/>
    <col min="7169" max="7169" width="20.7109375" style="3" customWidth="1"/>
    <col min="7170" max="7170" width="19.140625" style="3" customWidth="1"/>
    <col min="7171" max="7187" width="9.140625" style="3" customWidth="1"/>
    <col min="7188" max="7423" width="9" style="3"/>
    <col min="7424" max="7424" width="5" style="3" customWidth="1"/>
    <col min="7425" max="7425" width="20.7109375" style="3" customWidth="1"/>
    <col min="7426" max="7426" width="19.140625" style="3" customWidth="1"/>
    <col min="7427" max="7443" width="9.140625" style="3" customWidth="1"/>
    <col min="7444" max="7679" width="9" style="3"/>
    <col min="7680" max="7680" width="5" style="3" customWidth="1"/>
    <col min="7681" max="7681" width="20.7109375" style="3" customWidth="1"/>
    <col min="7682" max="7682" width="19.140625" style="3" customWidth="1"/>
    <col min="7683" max="7699" width="9.140625" style="3" customWidth="1"/>
    <col min="7700" max="7935" width="9" style="3"/>
    <col min="7936" max="7936" width="5" style="3" customWidth="1"/>
    <col min="7937" max="7937" width="20.7109375" style="3" customWidth="1"/>
    <col min="7938" max="7938" width="19.140625" style="3" customWidth="1"/>
    <col min="7939" max="7955" width="9.140625" style="3" customWidth="1"/>
    <col min="7956" max="8191" width="9" style="3"/>
    <col min="8192" max="8192" width="5" style="3" customWidth="1"/>
    <col min="8193" max="8193" width="20.7109375" style="3" customWidth="1"/>
    <col min="8194" max="8194" width="19.140625" style="3" customWidth="1"/>
    <col min="8195" max="8211" width="9.140625" style="3" customWidth="1"/>
    <col min="8212" max="8447" width="9" style="3"/>
    <col min="8448" max="8448" width="5" style="3" customWidth="1"/>
    <col min="8449" max="8449" width="20.7109375" style="3" customWidth="1"/>
    <col min="8450" max="8450" width="19.140625" style="3" customWidth="1"/>
    <col min="8451" max="8467" width="9.140625" style="3" customWidth="1"/>
    <col min="8468" max="8703" width="9" style="3"/>
    <col min="8704" max="8704" width="5" style="3" customWidth="1"/>
    <col min="8705" max="8705" width="20.7109375" style="3" customWidth="1"/>
    <col min="8706" max="8706" width="19.140625" style="3" customWidth="1"/>
    <col min="8707" max="8723" width="9.140625" style="3" customWidth="1"/>
    <col min="8724" max="8959" width="9" style="3"/>
    <col min="8960" max="8960" width="5" style="3" customWidth="1"/>
    <col min="8961" max="8961" width="20.7109375" style="3" customWidth="1"/>
    <col min="8962" max="8962" width="19.140625" style="3" customWidth="1"/>
    <col min="8963" max="8979" width="9.140625" style="3" customWidth="1"/>
    <col min="8980" max="9215" width="9" style="3"/>
    <col min="9216" max="9216" width="5" style="3" customWidth="1"/>
    <col min="9217" max="9217" width="20.7109375" style="3" customWidth="1"/>
    <col min="9218" max="9218" width="19.140625" style="3" customWidth="1"/>
    <col min="9219" max="9235" width="9.140625" style="3" customWidth="1"/>
    <col min="9236" max="9471" width="9" style="3"/>
    <col min="9472" max="9472" width="5" style="3" customWidth="1"/>
    <col min="9473" max="9473" width="20.7109375" style="3" customWidth="1"/>
    <col min="9474" max="9474" width="19.140625" style="3" customWidth="1"/>
    <col min="9475" max="9491" width="9.140625" style="3" customWidth="1"/>
    <col min="9492" max="9727" width="9" style="3"/>
    <col min="9728" max="9728" width="5" style="3" customWidth="1"/>
    <col min="9729" max="9729" width="20.7109375" style="3" customWidth="1"/>
    <col min="9730" max="9730" width="19.140625" style="3" customWidth="1"/>
    <col min="9731" max="9747" width="9.140625" style="3" customWidth="1"/>
    <col min="9748" max="9983" width="9" style="3"/>
    <col min="9984" max="9984" width="5" style="3" customWidth="1"/>
    <col min="9985" max="9985" width="20.7109375" style="3" customWidth="1"/>
    <col min="9986" max="9986" width="19.140625" style="3" customWidth="1"/>
    <col min="9987" max="10003" width="9.140625" style="3" customWidth="1"/>
    <col min="10004" max="10239" width="9" style="3"/>
    <col min="10240" max="10240" width="5" style="3" customWidth="1"/>
    <col min="10241" max="10241" width="20.7109375" style="3" customWidth="1"/>
    <col min="10242" max="10242" width="19.140625" style="3" customWidth="1"/>
    <col min="10243" max="10259" width="9.140625" style="3" customWidth="1"/>
    <col min="10260" max="10495" width="9" style="3"/>
    <col min="10496" max="10496" width="5" style="3" customWidth="1"/>
    <col min="10497" max="10497" width="20.7109375" style="3" customWidth="1"/>
    <col min="10498" max="10498" width="19.140625" style="3" customWidth="1"/>
    <col min="10499" max="10515" width="9.140625" style="3" customWidth="1"/>
    <col min="10516" max="10751" width="9" style="3"/>
    <col min="10752" max="10752" width="5" style="3" customWidth="1"/>
    <col min="10753" max="10753" width="20.7109375" style="3" customWidth="1"/>
    <col min="10754" max="10754" width="19.140625" style="3" customWidth="1"/>
    <col min="10755" max="10771" width="9.140625" style="3" customWidth="1"/>
    <col min="10772" max="11007" width="9" style="3"/>
    <col min="11008" max="11008" width="5" style="3" customWidth="1"/>
    <col min="11009" max="11009" width="20.7109375" style="3" customWidth="1"/>
    <col min="11010" max="11010" width="19.140625" style="3" customWidth="1"/>
    <col min="11011" max="11027" width="9.140625" style="3" customWidth="1"/>
    <col min="11028" max="11263" width="9" style="3"/>
    <col min="11264" max="11264" width="5" style="3" customWidth="1"/>
    <col min="11265" max="11265" width="20.7109375" style="3" customWidth="1"/>
    <col min="11266" max="11266" width="19.140625" style="3" customWidth="1"/>
    <col min="11267" max="11283" width="9.140625" style="3" customWidth="1"/>
    <col min="11284" max="11519" width="9" style="3"/>
    <col min="11520" max="11520" width="5" style="3" customWidth="1"/>
    <col min="11521" max="11521" width="20.7109375" style="3" customWidth="1"/>
    <col min="11522" max="11522" width="19.140625" style="3" customWidth="1"/>
    <col min="11523" max="11539" width="9.140625" style="3" customWidth="1"/>
    <col min="11540" max="11775" width="9" style="3"/>
    <col min="11776" max="11776" width="5" style="3" customWidth="1"/>
    <col min="11777" max="11777" width="20.7109375" style="3" customWidth="1"/>
    <col min="11778" max="11778" width="19.140625" style="3" customWidth="1"/>
    <col min="11779" max="11795" width="9.140625" style="3" customWidth="1"/>
    <col min="11796" max="12031" width="9" style="3"/>
    <col min="12032" max="12032" width="5" style="3" customWidth="1"/>
    <col min="12033" max="12033" width="20.7109375" style="3" customWidth="1"/>
    <col min="12034" max="12034" width="19.140625" style="3" customWidth="1"/>
    <col min="12035" max="12051" width="9.140625" style="3" customWidth="1"/>
    <col min="12052" max="12287" width="9" style="3"/>
    <col min="12288" max="12288" width="5" style="3" customWidth="1"/>
    <col min="12289" max="12289" width="20.7109375" style="3" customWidth="1"/>
    <col min="12290" max="12290" width="19.140625" style="3" customWidth="1"/>
    <col min="12291" max="12307" width="9.140625" style="3" customWidth="1"/>
    <col min="12308" max="12543" width="9" style="3"/>
    <col min="12544" max="12544" width="5" style="3" customWidth="1"/>
    <col min="12545" max="12545" width="20.7109375" style="3" customWidth="1"/>
    <col min="12546" max="12546" width="19.140625" style="3" customWidth="1"/>
    <col min="12547" max="12563" width="9.140625" style="3" customWidth="1"/>
    <col min="12564" max="12799" width="9" style="3"/>
    <col min="12800" max="12800" width="5" style="3" customWidth="1"/>
    <col min="12801" max="12801" width="20.7109375" style="3" customWidth="1"/>
    <col min="12802" max="12802" width="19.140625" style="3" customWidth="1"/>
    <col min="12803" max="12819" width="9.140625" style="3" customWidth="1"/>
    <col min="12820" max="13055" width="9" style="3"/>
    <col min="13056" max="13056" width="5" style="3" customWidth="1"/>
    <col min="13057" max="13057" width="20.7109375" style="3" customWidth="1"/>
    <col min="13058" max="13058" width="19.140625" style="3" customWidth="1"/>
    <col min="13059" max="13075" width="9.140625" style="3" customWidth="1"/>
    <col min="13076" max="13311" width="9" style="3"/>
    <col min="13312" max="13312" width="5" style="3" customWidth="1"/>
    <col min="13313" max="13313" width="20.7109375" style="3" customWidth="1"/>
    <col min="13314" max="13314" width="19.140625" style="3" customWidth="1"/>
    <col min="13315" max="13331" width="9.140625" style="3" customWidth="1"/>
    <col min="13332" max="13567" width="9" style="3"/>
    <col min="13568" max="13568" width="5" style="3" customWidth="1"/>
    <col min="13569" max="13569" width="20.7109375" style="3" customWidth="1"/>
    <col min="13570" max="13570" width="19.140625" style="3" customWidth="1"/>
    <col min="13571" max="13587" width="9.140625" style="3" customWidth="1"/>
    <col min="13588" max="13823" width="9" style="3"/>
    <col min="13824" max="13824" width="5" style="3" customWidth="1"/>
    <col min="13825" max="13825" width="20.7109375" style="3" customWidth="1"/>
    <col min="13826" max="13826" width="19.140625" style="3" customWidth="1"/>
    <col min="13827" max="13843" width="9.140625" style="3" customWidth="1"/>
    <col min="13844" max="14079" width="9" style="3"/>
    <col min="14080" max="14080" width="5" style="3" customWidth="1"/>
    <col min="14081" max="14081" width="20.7109375" style="3" customWidth="1"/>
    <col min="14082" max="14082" width="19.140625" style="3" customWidth="1"/>
    <col min="14083" max="14099" width="9.140625" style="3" customWidth="1"/>
    <col min="14100" max="14335" width="9" style="3"/>
    <col min="14336" max="14336" width="5" style="3" customWidth="1"/>
    <col min="14337" max="14337" width="20.7109375" style="3" customWidth="1"/>
    <col min="14338" max="14338" width="19.140625" style="3" customWidth="1"/>
    <col min="14339" max="14355" width="9.140625" style="3" customWidth="1"/>
    <col min="14356" max="14591" width="9" style="3"/>
    <col min="14592" max="14592" width="5" style="3" customWidth="1"/>
    <col min="14593" max="14593" width="20.7109375" style="3" customWidth="1"/>
    <col min="14594" max="14594" width="19.140625" style="3" customWidth="1"/>
    <col min="14595" max="14611" width="9.140625" style="3" customWidth="1"/>
    <col min="14612" max="14847" width="9" style="3"/>
    <col min="14848" max="14848" width="5" style="3" customWidth="1"/>
    <col min="14849" max="14849" width="20.7109375" style="3" customWidth="1"/>
    <col min="14850" max="14850" width="19.140625" style="3" customWidth="1"/>
    <col min="14851" max="14867" width="9.140625" style="3" customWidth="1"/>
    <col min="14868" max="15103" width="9" style="3"/>
    <col min="15104" max="15104" width="5" style="3" customWidth="1"/>
    <col min="15105" max="15105" width="20.7109375" style="3" customWidth="1"/>
    <col min="15106" max="15106" width="19.140625" style="3" customWidth="1"/>
    <col min="15107" max="15123" width="9.140625" style="3" customWidth="1"/>
    <col min="15124" max="15359" width="9" style="3"/>
    <col min="15360" max="15360" width="5" style="3" customWidth="1"/>
    <col min="15361" max="15361" width="20.7109375" style="3" customWidth="1"/>
    <col min="15362" max="15362" width="19.140625" style="3" customWidth="1"/>
    <col min="15363" max="15379" width="9.140625" style="3" customWidth="1"/>
    <col min="15380" max="15615" width="9" style="3"/>
    <col min="15616" max="15616" width="5" style="3" customWidth="1"/>
    <col min="15617" max="15617" width="20.7109375" style="3" customWidth="1"/>
    <col min="15618" max="15618" width="19.140625" style="3" customWidth="1"/>
    <col min="15619" max="15635" width="9.140625" style="3" customWidth="1"/>
    <col min="15636" max="15871" width="9" style="3"/>
    <col min="15872" max="15872" width="5" style="3" customWidth="1"/>
    <col min="15873" max="15873" width="20.7109375" style="3" customWidth="1"/>
    <col min="15874" max="15874" width="19.140625" style="3" customWidth="1"/>
    <col min="15875" max="15891" width="9.140625" style="3" customWidth="1"/>
    <col min="15892" max="16127" width="9" style="3"/>
    <col min="16128" max="16128" width="5" style="3" customWidth="1"/>
    <col min="16129" max="16129" width="20.7109375" style="3" customWidth="1"/>
    <col min="16130" max="16130" width="19.140625" style="3" customWidth="1"/>
    <col min="16131" max="16147" width="9.140625" style="3" customWidth="1"/>
    <col min="16148" max="16384" width="9" style="3"/>
  </cols>
  <sheetData>
    <row r="1" spans="1:22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2" ht="179.25" customHeight="1" thickBot="1" x14ac:dyDescent="0.3">
      <c r="A2" s="80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2" x14ac:dyDescent="0.25">
      <c r="A3" s="78" t="s">
        <v>4</v>
      </c>
      <c r="B3" s="14" t="s">
        <v>83</v>
      </c>
      <c r="C3" s="15" t="s">
        <v>5</v>
      </c>
      <c r="D3" s="19">
        <f>100-(59.05-59.05)/59.05*50</f>
        <v>100</v>
      </c>
      <c r="E3" s="17">
        <f>100-(84.95-84.95)/84.95*50</f>
        <v>100</v>
      </c>
      <c r="F3" s="55"/>
      <c r="G3" s="55"/>
      <c r="H3" s="156"/>
      <c r="I3" s="156"/>
      <c r="J3" s="19"/>
      <c r="K3" s="55"/>
      <c r="L3" s="17"/>
      <c r="M3" s="17"/>
      <c r="N3" s="55"/>
      <c r="O3" s="17"/>
      <c r="P3" s="17"/>
      <c r="Q3" s="18"/>
      <c r="R3" s="18"/>
      <c r="S3" s="20">
        <f>SUM(D3:R3)</f>
        <v>200</v>
      </c>
    </row>
    <row r="4" spans="1:22" x14ac:dyDescent="0.25">
      <c r="A4" s="81" t="s">
        <v>6</v>
      </c>
      <c r="B4" s="23" t="s">
        <v>39</v>
      </c>
      <c r="C4" s="24" t="s">
        <v>36</v>
      </c>
      <c r="D4" s="19">
        <f>100-(75.88-59.05)/59.05*50</f>
        <v>85.749364944961897</v>
      </c>
      <c r="E4" s="19">
        <f>100-(103.93-84.95)/84.95*50</f>
        <v>88.828722778104762</v>
      </c>
      <c r="F4" s="21"/>
      <c r="G4" s="21"/>
      <c r="H4" s="28"/>
      <c r="I4" s="68"/>
      <c r="J4" s="19"/>
      <c r="K4" s="25"/>
      <c r="L4" s="25"/>
      <c r="M4" s="25"/>
      <c r="N4" s="25"/>
      <c r="O4" s="25"/>
      <c r="P4" s="21"/>
      <c r="Q4" s="18"/>
      <c r="R4" s="18"/>
      <c r="S4" s="26">
        <f>SUM(D4:R4)-H4-K4-Q4</f>
        <v>174.57808772306666</v>
      </c>
    </row>
    <row r="5" spans="1:22" x14ac:dyDescent="0.25">
      <c r="A5" s="81" t="s">
        <v>8</v>
      </c>
      <c r="B5" s="23" t="s">
        <v>37</v>
      </c>
      <c r="C5" s="24" t="s">
        <v>19</v>
      </c>
      <c r="D5" s="19">
        <f>100-(68.52-59.05)/59.05*50</f>
        <v>91.981371718882301</v>
      </c>
      <c r="E5" s="19">
        <f>100-(116.52-84.95)/84.95*50</f>
        <v>81.41848145968217</v>
      </c>
      <c r="F5" s="21"/>
      <c r="G5" s="21"/>
      <c r="H5" s="21"/>
      <c r="I5" s="21"/>
      <c r="J5" s="19"/>
      <c r="K5" s="74"/>
      <c r="L5" s="18"/>
      <c r="M5" s="25"/>
      <c r="N5" s="18"/>
      <c r="O5" s="25"/>
      <c r="P5" s="25"/>
      <c r="Q5" s="18"/>
      <c r="R5" s="18"/>
      <c r="S5" s="26">
        <f>SUM(D5:R5)</f>
        <v>173.39985317856446</v>
      </c>
    </row>
    <row r="6" spans="1:22" x14ac:dyDescent="0.25">
      <c r="A6" s="81" t="s">
        <v>11</v>
      </c>
      <c r="B6" s="23" t="s">
        <v>40</v>
      </c>
      <c r="C6" s="94" t="s">
        <v>17</v>
      </c>
      <c r="D6" s="32"/>
      <c r="E6" s="19">
        <f>100-(87.52-84.95)/84.95*50</f>
        <v>98.487345497351384</v>
      </c>
      <c r="F6" s="21"/>
      <c r="G6" s="21"/>
      <c r="H6" s="21"/>
      <c r="I6" s="21"/>
      <c r="J6" s="25"/>
      <c r="K6" s="18"/>
      <c r="L6" s="25"/>
      <c r="M6" s="18"/>
      <c r="N6" s="21"/>
      <c r="O6" s="21"/>
      <c r="P6" s="21"/>
      <c r="Q6" s="18"/>
      <c r="R6" s="18"/>
      <c r="S6" s="26">
        <f>SUM(D6:R6)</f>
        <v>98.487345497351384</v>
      </c>
    </row>
    <row r="7" spans="1:22" x14ac:dyDescent="0.25">
      <c r="A7" s="81" t="s">
        <v>13</v>
      </c>
      <c r="B7" s="23" t="s">
        <v>73</v>
      </c>
      <c r="C7" s="24"/>
      <c r="D7" s="32"/>
      <c r="E7" s="19">
        <f>100-(198.4-84.95)/84.95*50</f>
        <v>33.22542672160094</v>
      </c>
      <c r="F7" s="21"/>
      <c r="G7" s="21"/>
      <c r="H7" s="21"/>
      <c r="I7" s="21"/>
      <c r="J7" s="18"/>
      <c r="K7" s="25"/>
      <c r="L7" s="25"/>
      <c r="M7" s="25"/>
      <c r="N7" s="21"/>
      <c r="O7" s="56"/>
      <c r="P7" s="25"/>
      <c r="Q7" s="21"/>
      <c r="R7" s="21"/>
      <c r="S7" s="26">
        <f>SUM(D7:R7)</f>
        <v>33.22542672160094</v>
      </c>
    </row>
    <row r="8" spans="1:22" x14ac:dyDescent="0.25">
      <c r="A8" s="81"/>
      <c r="B8" s="23"/>
      <c r="C8" s="24"/>
      <c r="D8" s="35"/>
      <c r="E8" s="19"/>
      <c r="F8" s="18"/>
      <c r="G8" s="18"/>
      <c r="H8" s="96"/>
      <c r="I8" s="18"/>
      <c r="J8" s="18"/>
      <c r="K8" s="25"/>
      <c r="L8" s="18"/>
      <c r="M8" s="25"/>
      <c r="N8" s="25"/>
      <c r="O8" s="25"/>
      <c r="P8" s="25"/>
      <c r="Q8" s="25"/>
      <c r="R8" s="18"/>
      <c r="S8" s="26">
        <f>SUM(D8:R8)-D8-J8-P8-Q8-R8</f>
        <v>0</v>
      </c>
    </row>
    <row r="9" spans="1:22" x14ac:dyDescent="0.25">
      <c r="A9" s="81"/>
      <c r="B9" s="23"/>
      <c r="C9" s="24"/>
      <c r="D9" s="19"/>
      <c r="E9" s="25"/>
      <c r="F9" s="18"/>
      <c r="G9" s="18"/>
      <c r="H9" s="18"/>
      <c r="I9" s="21"/>
      <c r="J9" s="18"/>
      <c r="K9" s="18"/>
      <c r="L9" s="25"/>
      <c r="M9" s="25"/>
      <c r="N9" s="21"/>
      <c r="O9" s="21"/>
      <c r="P9" s="21"/>
      <c r="Q9" s="21"/>
      <c r="R9" s="18"/>
      <c r="S9" s="26">
        <f>SUM(D9:R9)</f>
        <v>0</v>
      </c>
    </row>
    <row r="10" spans="1:22" ht="15.75" thickBot="1" x14ac:dyDescent="0.3">
      <c r="A10" s="82"/>
      <c r="B10" s="39"/>
      <c r="C10" s="40"/>
      <c r="D10" s="123"/>
      <c r="E10" s="45"/>
      <c r="F10" s="42"/>
      <c r="G10" s="42"/>
      <c r="H10" s="42"/>
      <c r="I10" s="59"/>
      <c r="J10" s="42"/>
      <c r="K10" s="42"/>
      <c r="L10" s="45"/>
      <c r="M10" s="45"/>
      <c r="N10" s="42"/>
      <c r="O10" s="42"/>
      <c r="P10" s="45"/>
      <c r="Q10" s="42"/>
      <c r="R10" s="42"/>
      <c r="S10" s="46">
        <f>SUM(D10:R10)</f>
        <v>0</v>
      </c>
    </row>
    <row r="11" spans="1:22" s="6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60"/>
      <c r="N11" s="2"/>
      <c r="O11" s="2"/>
      <c r="P11" s="2"/>
      <c r="Q11" s="2"/>
      <c r="R11" s="2"/>
      <c r="S11" s="50"/>
      <c r="T11" s="2"/>
      <c r="U11" s="2"/>
      <c r="V11" s="2"/>
    </row>
    <row r="12" spans="1:22" s="2" customFormat="1" x14ac:dyDescent="0.25">
      <c r="L12" s="47"/>
      <c r="M12" s="60"/>
      <c r="N12" s="47"/>
      <c r="O12" s="47"/>
      <c r="P12" s="47"/>
      <c r="Q12" s="47"/>
      <c r="S12" s="50"/>
    </row>
    <row r="13" spans="1:22" s="2" customFormat="1" x14ac:dyDescent="0.25">
      <c r="S13" s="47"/>
    </row>
    <row r="14" spans="1:22" s="52" customFormat="1" x14ac:dyDescent="0.25">
      <c r="A14" s="52" t="s">
        <v>34</v>
      </c>
    </row>
    <row r="15" spans="1:22" s="53" customFormat="1" x14ac:dyDescent="0.25">
      <c r="A15" s="53" t="s">
        <v>35</v>
      </c>
    </row>
  </sheetData>
  <sortState ref="B3:S10">
    <sortCondition descending="1" ref="S3"/>
  </sortState>
  <mergeCells count="1">
    <mergeCell ref="A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>
      <selection activeCell="K14" sqref="K14"/>
    </sheetView>
  </sheetViews>
  <sheetFormatPr defaultColWidth="9" defaultRowHeight="15" x14ac:dyDescent="0.25"/>
  <cols>
    <col min="1" max="1" width="5.140625" style="3" customWidth="1"/>
    <col min="2" max="2" width="20.85546875" style="3" customWidth="1"/>
    <col min="3" max="3" width="9" style="3"/>
    <col min="4" max="7" width="9.140625" style="54" customWidth="1"/>
    <col min="8" max="19" width="9.140625" style="3" customWidth="1"/>
    <col min="20" max="29" width="9" style="2"/>
    <col min="30" max="255" width="9" style="3"/>
    <col min="256" max="256" width="5.140625" style="3" customWidth="1"/>
    <col min="257" max="257" width="20.85546875" style="3" customWidth="1"/>
    <col min="258" max="258" width="9" style="3"/>
    <col min="259" max="275" width="9.140625" style="3" customWidth="1"/>
    <col min="276" max="511" width="9" style="3"/>
    <col min="512" max="512" width="5.140625" style="3" customWidth="1"/>
    <col min="513" max="513" width="20.85546875" style="3" customWidth="1"/>
    <col min="514" max="514" width="9" style="3"/>
    <col min="515" max="531" width="9.140625" style="3" customWidth="1"/>
    <col min="532" max="767" width="9" style="3"/>
    <col min="768" max="768" width="5.140625" style="3" customWidth="1"/>
    <col min="769" max="769" width="20.85546875" style="3" customWidth="1"/>
    <col min="770" max="770" width="9" style="3"/>
    <col min="771" max="787" width="9.140625" style="3" customWidth="1"/>
    <col min="788" max="1023" width="9" style="3"/>
    <col min="1024" max="1024" width="5.140625" style="3" customWidth="1"/>
    <col min="1025" max="1025" width="20.85546875" style="3" customWidth="1"/>
    <col min="1026" max="1026" width="9" style="3"/>
    <col min="1027" max="1043" width="9.140625" style="3" customWidth="1"/>
    <col min="1044" max="1279" width="9" style="3"/>
    <col min="1280" max="1280" width="5.140625" style="3" customWidth="1"/>
    <col min="1281" max="1281" width="20.85546875" style="3" customWidth="1"/>
    <col min="1282" max="1282" width="9" style="3"/>
    <col min="1283" max="1299" width="9.140625" style="3" customWidth="1"/>
    <col min="1300" max="1535" width="9" style="3"/>
    <col min="1536" max="1536" width="5.140625" style="3" customWidth="1"/>
    <col min="1537" max="1537" width="20.85546875" style="3" customWidth="1"/>
    <col min="1538" max="1538" width="9" style="3"/>
    <col min="1539" max="1555" width="9.140625" style="3" customWidth="1"/>
    <col min="1556" max="1791" width="9" style="3"/>
    <col min="1792" max="1792" width="5.140625" style="3" customWidth="1"/>
    <col min="1793" max="1793" width="20.85546875" style="3" customWidth="1"/>
    <col min="1794" max="1794" width="9" style="3"/>
    <col min="1795" max="1811" width="9.140625" style="3" customWidth="1"/>
    <col min="1812" max="2047" width="9" style="3"/>
    <col min="2048" max="2048" width="5.140625" style="3" customWidth="1"/>
    <col min="2049" max="2049" width="20.85546875" style="3" customWidth="1"/>
    <col min="2050" max="2050" width="9" style="3"/>
    <col min="2051" max="2067" width="9.140625" style="3" customWidth="1"/>
    <col min="2068" max="2303" width="9" style="3"/>
    <col min="2304" max="2304" width="5.140625" style="3" customWidth="1"/>
    <col min="2305" max="2305" width="20.85546875" style="3" customWidth="1"/>
    <col min="2306" max="2306" width="9" style="3"/>
    <col min="2307" max="2323" width="9.140625" style="3" customWidth="1"/>
    <col min="2324" max="2559" width="9" style="3"/>
    <col min="2560" max="2560" width="5.140625" style="3" customWidth="1"/>
    <col min="2561" max="2561" width="20.85546875" style="3" customWidth="1"/>
    <col min="2562" max="2562" width="9" style="3"/>
    <col min="2563" max="2579" width="9.140625" style="3" customWidth="1"/>
    <col min="2580" max="2815" width="9" style="3"/>
    <col min="2816" max="2816" width="5.140625" style="3" customWidth="1"/>
    <col min="2817" max="2817" width="20.85546875" style="3" customWidth="1"/>
    <col min="2818" max="2818" width="9" style="3"/>
    <col min="2819" max="2835" width="9.140625" style="3" customWidth="1"/>
    <col min="2836" max="3071" width="9" style="3"/>
    <col min="3072" max="3072" width="5.140625" style="3" customWidth="1"/>
    <col min="3073" max="3073" width="20.85546875" style="3" customWidth="1"/>
    <col min="3074" max="3074" width="9" style="3"/>
    <col min="3075" max="3091" width="9.140625" style="3" customWidth="1"/>
    <col min="3092" max="3327" width="9" style="3"/>
    <col min="3328" max="3328" width="5.140625" style="3" customWidth="1"/>
    <col min="3329" max="3329" width="20.85546875" style="3" customWidth="1"/>
    <col min="3330" max="3330" width="9" style="3"/>
    <col min="3331" max="3347" width="9.140625" style="3" customWidth="1"/>
    <col min="3348" max="3583" width="9" style="3"/>
    <col min="3584" max="3584" width="5.140625" style="3" customWidth="1"/>
    <col min="3585" max="3585" width="20.85546875" style="3" customWidth="1"/>
    <col min="3586" max="3586" width="9" style="3"/>
    <col min="3587" max="3603" width="9.140625" style="3" customWidth="1"/>
    <col min="3604" max="3839" width="9" style="3"/>
    <col min="3840" max="3840" width="5.140625" style="3" customWidth="1"/>
    <col min="3841" max="3841" width="20.85546875" style="3" customWidth="1"/>
    <col min="3842" max="3842" width="9" style="3"/>
    <col min="3843" max="3859" width="9.140625" style="3" customWidth="1"/>
    <col min="3860" max="4095" width="9" style="3"/>
    <col min="4096" max="4096" width="5.140625" style="3" customWidth="1"/>
    <col min="4097" max="4097" width="20.85546875" style="3" customWidth="1"/>
    <col min="4098" max="4098" width="9" style="3"/>
    <col min="4099" max="4115" width="9.140625" style="3" customWidth="1"/>
    <col min="4116" max="4351" width="9" style="3"/>
    <col min="4352" max="4352" width="5.140625" style="3" customWidth="1"/>
    <col min="4353" max="4353" width="20.85546875" style="3" customWidth="1"/>
    <col min="4354" max="4354" width="9" style="3"/>
    <col min="4355" max="4371" width="9.140625" style="3" customWidth="1"/>
    <col min="4372" max="4607" width="9" style="3"/>
    <col min="4608" max="4608" width="5.140625" style="3" customWidth="1"/>
    <col min="4609" max="4609" width="20.85546875" style="3" customWidth="1"/>
    <col min="4610" max="4610" width="9" style="3"/>
    <col min="4611" max="4627" width="9.140625" style="3" customWidth="1"/>
    <col min="4628" max="4863" width="9" style="3"/>
    <col min="4864" max="4864" width="5.140625" style="3" customWidth="1"/>
    <col min="4865" max="4865" width="20.85546875" style="3" customWidth="1"/>
    <col min="4866" max="4866" width="9" style="3"/>
    <col min="4867" max="4883" width="9.140625" style="3" customWidth="1"/>
    <col min="4884" max="5119" width="9" style="3"/>
    <col min="5120" max="5120" width="5.140625" style="3" customWidth="1"/>
    <col min="5121" max="5121" width="20.85546875" style="3" customWidth="1"/>
    <col min="5122" max="5122" width="9" style="3"/>
    <col min="5123" max="5139" width="9.140625" style="3" customWidth="1"/>
    <col min="5140" max="5375" width="9" style="3"/>
    <col min="5376" max="5376" width="5.140625" style="3" customWidth="1"/>
    <col min="5377" max="5377" width="20.85546875" style="3" customWidth="1"/>
    <col min="5378" max="5378" width="9" style="3"/>
    <col min="5379" max="5395" width="9.140625" style="3" customWidth="1"/>
    <col min="5396" max="5631" width="9" style="3"/>
    <col min="5632" max="5632" width="5.140625" style="3" customWidth="1"/>
    <col min="5633" max="5633" width="20.85546875" style="3" customWidth="1"/>
    <col min="5634" max="5634" width="9" style="3"/>
    <col min="5635" max="5651" width="9.140625" style="3" customWidth="1"/>
    <col min="5652" max="5887" width="9" style="3"/>
    <col min="5888" max="5888" width="5.140625" style="3" customWidth="1"/>
    <col min="5889" max="5889" width="20.85546875" style="3" customWidth="1"/>
    <col min="5890" max="5890" width="9" style="3"/>
    <col min="5891" max="5907" width="9.140625" style="3" customWidth="1"/>
    <col min="5908" max="6143" width="9" style="3"/>
    <col min="6144" max="6144" width="5.140625" style="3" customWidth="1"/>
    <col min="6145" max="6145" width="20.85546875" style="3" customWidth="1"/>
    <col min="6146" max="6146" width="9" style="3"/>
    <col min="6147" max="6163" width="9.140625" style="3" customWidth="1"/>
    <col min="6164" max="6399" width="9" style="3"/>
    <col min="6400" max="6400" width="5.140625" style="3" customWidth="1"/>
    <col min="6401" max="6401" width="20.85546875" style="3" customWidth="1"/>
    <col min="6402" max="6402" width="9" style="3"/>
    <col min="6403" max="6419" width="9.140625" style="3" customWidth="1"/>
    <col min="6420" max="6655" width="9" style="3"/>
    <col min="6656" max="6656" width="5.140625" style="3" customWidth="1"/>
    <col min="6657" max="6657" width="20.85546875" style="3" customWidth="1"/>
    <col min="6658" max="6658" width="9" style="3"/>
    <col min="6659" max="6675" width="9.140625" style="3" customWidth="1"/>
    <col min="6676" max="6911" width="9" style="3"/>
    <col min="6912" max="6912" width="5.140625" style="3" customWidth="1"/>
    <col min="6913" max="6913" width="20.85546875" style="3" customWidth="1"/>
    <col min="6914" max="6914" width="9" style="3"/>
    <col min="6915" max="6931" width="9.140625" style="3" customWidth="1"/>
    <col min="6932" max="7167" width="9" style="3"/>
    <col min="7168" max="7168" width="5.140625" style="3" customWidth="1"/>
    <col min="7169" max="7169" width="20.85546875" style="3" customWidth="1"/>
    <col min="7170" max="7170" width="9" style="3"/>
    <col min="7171" max="7187" width="9.140625" style="3" customWidth="1"/>
    <col min="7188" max="7423" width="9" style="3"/>
    <col min="7424" max="7424" width="5.140625" style="3" customWidth="1"/>
    <col min="7425" max="7425" width="20.85546875" style="3" customWidth="1"/>
    <col min="7426" max="7426" width="9" style="3"/>
    <col min="7427" max="7443" width="9.140625" style="3" customWidth="1"/>
    <col min="7444" max="7679" width="9" style="3"/>
    <col min="7680" max="7680" width="5.140625" style="3" customWidth="1"/>
    <col min="7681" max="7681" width="20.85546875" style="3" customWidth="1"/>
    <col min="7682" max="7682" width="9" style="3"/>
    <col min="7683" max="7699" width="9.140625" style="3" customWidth="1"/>
    <col min="7700" max="7935" width="9" style="3"/>
    <col min="7936" max="7936" width="5.140625" style="3" customWidth="1"/>
    <col min="7937" max="7937" width="20.85546875" style="3" customWidth="1"/>
    <col min="7938" max="7938" width="9" style="3"/>
    <col min="7939" max="7955" width="9.140625" style="3" customWidth="1"/>
    <col min="7956" max="8191" width="9" style="3"/>
    <col min="8192" max="8192" width="5.140625" style="3" customWidth="1"/>
    <col min="8193" max="8193" width="20.85546875" style="3" customWidth="1"/>
    <col min="8194" max="8194" width="9" style="3"/>
    <col min="8195" max="8211" width="9.140625" style="3" customWidth="1"/>
    <col min="8212" max="8447" width="9" style="3"/>
    <col min="8448" max="8448" width="5.140625" style="3" customWidth="1"/>
    <col min="8449" max="8449" width="20.85546875" style="3" customWidth="1"/>
    <col min="8450" max="8450" width="9" style="3"/>
    <col min="8451" max="8467" width="9.140625" style="3" customWidth="1"/>
    <col min="8468" max="8703" width="9" style="3"/>
    <col min="8704" max="8704" width="5.140625" style="3" customWidth="1"/>
    <col min="8705" max="8705" width="20.85546875" style="3" customWidth="1"/>
    <col min="8706" max="8706" width="9" style="3"/>
    <col min="8707" max="8723" width="9.140625" style="3" customWidth="1"/>
    <col min="8724" max="8959" width="9" style="3"/>
    <col min="8960" max="8960" width="5.140625" style="3" customWidth="1"/>
    <col min="8961" max="8961" width="20.85546875" style="3" customWidth="1"/>
    <col min="8962" max="8962" width="9" style="3"/>
    <col min="8963" max="8979" width="9.140625" style="3" customWidth="1"/>
    <col min="8980" max="9215" width="9" style="3"/>
    <col min="9216" max="9216" width="5.140625" style="3" customWidth="1"/>
    <col min="9217" max="9217" width="20.85546875" style="3" customWidth="1"/>
    <col min="9218" max="9218" width="9" style="3"/>
    <col min="9219" max="9235" width="9.140625" style="3" customWidth="1"/>
    <col min="9236" max="9471" width="9" style="3"/>
    <col min="9472" max="9472" width="5.140625" style="3" customWidth="1"/>
    <col min="9473" max="9473" width="20.85546875" style="3" customWidth="1"/>
    <col min="9474" max="9474" width="9" style="3"/>
    <col min="9475" max="9491" width="9.140625" style="3" customWidth="1"/>
    <col min="9492" max="9727" width="9" style="3"/>
    <col min="9728" max="9728" width="5.140625" style="3" customWidth="1"/>
    <col min="9729" max="9729" width="20.85546875" style="3" customWidth="1"/>
    <col min="9730" max="9730" width="9" style="3"/>
    <col min="9731" max="9747" width="9.140625" style="3" customWidth="1"/>
    <col min="9748" max="9983" width="9" style="3"/>
    <col min="9984" max="9984" width="5.140625" style="3" customWidth="1"/>
    <col min="9985" max="9985" width="20.85546875" style="3" customWidth="1"/>
    <col min="9986" max="9986" width="9" style="3"/>
    <col min="9987" max="10003" width="9.140625" style="3" customWidth="1"/>
    <col min="10004" max="10239" width="9" style="3"/>
    <col min="10240" max="10240" width="5.140625" style="3" customWidth="1"/>
    <col min="10241" max="10241" width="20.85546875" style="3" customWidth="1"/>
    <col min="10242" max="10242" width="9" style="3"/>
    <col min="10243" max="10259" width="9.140625" style="3" customWidth="1"/>
    <col min="10260" max="10495" width="9" style="3"/>
    <col min="10496" max="10496" width="5.140625" style="3" customWidth="1"/>
    <col min="10497" max="10497" width="20.85546875" style="3" customWidth="1"/>
    <col min="10498" max="10498" width="9" style="3"/>
    <col min="10499" max="10515" width="9.140625" style="3" customWidth="1"/>
    <col min="10516" max="10751" width="9" style="3"/>
    <col min="10752" max="10752" width="5.140625" style="3" customWidth="1"/>
    <col min="10753" max="10753" width="20.85546875" style="3" customWidth="1"/>
    <col min="10754" max="10754" width="9" style="3"/>
    <col min="10755" max="10771" width="9.140625" style="3" customWidth="1"/>
    <col min="10772" max="11007" width="9" style="3"/>
    <col min="11008" max="11008" width="5.140625" style="3" customWidth="1"/>
    <col min="11009" max="11009" width="20.85546875" style="3" customWidth="1"/>
    <col min="11010" max="11010" width="9" style="3"/>
    <col min="11011" max="11027" width="9.140625" style="3" customWidth="1"/>
    <col min="11028" max="11263" width="9" style="3"/>
    <col min="11264" max="11264" width="5.140625" style="3" customWidth="1"/>
    <col min="11265" max="11265" width="20.85546875" style="3" customWidth="1"/>
    <col min="11266" max="11266" width="9" style="3"/>
    <col min="11267" max="11283" width="9.140625" style="3" customWidth="1"/>
    <col min="11284" max="11519" width="9" style="3"/>
    <col min="11520" max="11520" width="5.140625" style="3" customWidth="1"/>
    <col min="11521" max="11521" width="20.85546875" style="3" customWidth="1"/>
    <col min="11522" max="11522" width="9" style="3"/>
    <col min="11523" max="11539" width="9.140625" style="3" customWidth="1"/>
    <col min="11540" max="11775" width="9" style="3"/>
    <col min="11776" max="11776" width="5.140625" style="3" customWidth="1"/>
    <col min="11777" max="11777" width="20.85546875" style="3" customWidth="1"/>
    <col min="11778" max="11778" width="9" style="3"/>
    <col min="11779" max="11795" width="9.140625" style="3" customWidth="1"/>
    <col min="11796" max="12031" width="9" style="3"/>
    <col min="12032" max="12032" width="5.140625" style="3" customWidth="1"/>
    <col min="12033" max="12033" width="20.85546875" style="3" customWidth="1"/>
    <col min="12034" max="12034" width="9" style="3"/>
    <col min="12035" max="12051" width="9.140625" style="3" customWidth="1"/>
    <col min="12052" max="12287" width="9" style="3"/>
    <col min="12288" max="12288" width="5.140625" style="3" customWidth="1"/>
    <col min="12289" max="12289" width="20.85546875" style="3" customWidth="1"/>
    <col min="12290" max="12290" width="9" style="3"/>
    <col min="12291" max="12307" width="9.140625" style="3" customWidth="1"/>
    <col min="12308" max="12543" width="9" style="3"/>
    <col min="12544" max="12544" width="5.140625" style="3" customWidth="1"/>
    <col min="12545" max="12545" width="20.85546875" style="3" customWidth="1"/>
    <col min="12546" max="12546" width="9" style="3"/>
    <col min="12547" max="12563" width="9.140625" style="3" customWidth="1"/>
    <col min="12564" max="12799" width="9" style="3"/>
    <col min="12800" max="12800" width="5.140625" style="3" customWidth="1"/>
    <col min="12801" max="12801" width="20.85546875" style="3" customWidth="1"/>
    <col min="12802" max="12802" width="9" style="3"/>
    <col min="12803" max="12819" width="9.140625" style="3" customWidth="1"/>
    <col min="12820" max="13055" width="9" style="3"/>
    <col min="13056" max="13056" width="5.140625" style="3" customWidth="1"/>
    <col min="13057" max="13057" width="20.85546875" style="3" customWidth="1"/>
    <col min="13058" max="13058" width="9" style="3"/>
    <col min="13059" max="13075" width="9.140625" style="3" customWidth="1"/>
    <col min="13076" max="13311" width="9" style="3"/>
    <col min="13312" max="13312" width="5.140625" style="3" customWidth="1"/>
    <col min="13313" max="13313" width="20.85546875" style="3" customWidth="1"/>
    <col min="13314" max="13314" width="9" style="3"/>
    <col min="13315" max="13331" width="9.140625" style="3" customWidth="1"/>
    <col min="13332" max="13567" width="9" style="3"/>
    <col min="13568" max="13568" width="5.140625" style="3" customWidth="1"/>
    <col min="13569" max="13569" width="20.85546875" style="3" customWidth="1"/>
    <col min="13570" max="13570" width="9" style="3"/>
    <col min="13571" max="13587" width="9.140625" style="3" customWidth="1"/>
    <col min="13588" max="13823" width="9" style="3"/>
    <col min="13824" max="13824" width="5.140625" style="3" customWidth="1"/>
    <col min="13825" max="13825" width="20.85546875" style="3" customWidth="1"/>
    <col min="13826" max="13826" width="9" style="3"/>
    <col min="13827" max="13843" width="9.140625" style="3" customWidth="1"/>
    <col min="13844" max="14079" width="9" style="3"/>
    <col min="14080" max="14080" width="5.140625" style="3" customWidth="1"/>
    <col min="14081" max="14081" width="20.85546875" style="3" customWidth="1"/>
    <col min="14082" max="14082" width="9" style="3"/>
    <col min="14083" max="14099" width="9.140625" style="3" customWidth="1"/>
    <col min="14100" max="14335" width="9" style="3"/>
    <col min="14336" max="14336" width="5.140625" style="3" customWidth="1"/>
    <col min="14337" max="14337" width="20.85546875" style="3" customWidth="1"/>
    <col min="14338" max="14338" width="9" style="3"/>
    <col min="14339" max="14355" width="9.140625" style="3" customWidth="1"/>
    <col min="14356" max="14591" width="9" style="3"/>
    <col min="14592" max="14592" width="5.140625" style="3" customWidth="1"/>
    <col min="14593" max="14593" width="20.85546875" style="3" customWidth="1"/>
    <col min="14594" max="14594" width="9" style="3"/>
    <col min="14595" max="14611" width="9.140625" style="3" customWidth="1"/>
    <col min="14612" max="14847" width="9" style="3"/>
    <col min="14848" max="14848" width="5.140625" style="3" customWidth="1"/>
    <col min="14849" max="14849" width="20.85546875" style="3" customWidth="1"/>
    <col min="14850" max="14850" width="9" style="3"/>
    <col min="14851" max="14867" width="9.140625" style="3" customWidth="1"/>
    <col min="14868" max="15103" width="9" style="3"/>
    <col min="15104" max="15104" width="5.140625" style="3" customWidth="1"/>
    <col min="15105" max="15105" width="20.85546875" style="3" customWidth="1"/>
    <col min="15106" max="15106" width="9" style="3"/>
    <col min="15107" max="15123" width="9.140625" style="3" customWidth="1"/>
    <col min="15124" max="15359" width="9" style="3"/>
    <col min="15360" max="15360" width="5.140625" style="3" customWidth="1"/>
    <col min="15361" max="15361" width="20.85546875" style="3" customWidth="1"/>
    <col min="15362" max="15362" width="9" style="3"/>
    <col min="15363" max="15379" width="9.140625" style="3" customWidth="1"/>
    <col min="15380" max="15615" width="9" style="3"/>
    <col min="15616" max="15616" width="5.140625" style="3" customWidth="1"/>
    <col min="15617" max="15617" width="20.85546875" style="3" customWidth="1"/>
    <col min="15618" max="15618" width="9" style="3"/>
    <col min="15619" max="15635" width="9.140625" style="3" customWidth="1"/>
    <col min="15636" max="15871" width="9" style="3"/>
    <col min="15872" max="15872" width="5.140625" style="3" customWidth="1"/>
    <col min="15873" max="15873" width="20.85546875" style="3" customWidth="1"/>
    <col min="15874" max="15874" width="9" style="3"/>
    <col min="15875" max="15891" width="9.140625" style="3" customWidth="1"/>
    <col min="15892" max="16127" width="9" style="3"/>
    <col min="16128" max="16128" width="5.140625" style="3" customWidth="1"/>
    <col min="16129" max="16129" width="20.85546875" style="3" customWidth="1"/>
    <col min="16130" max="16130" width="9" style="3"/>
    <col min="16131" max="16147" width="9.140625" style="3" customWidth="1"/>
    <col min="16148" max="16384" width="9" style="3"/>
  </cols>
  <sheetData>
    <row r="1" spans="1:29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64"/>
      <c r="U1" s="64"/>
    </row>
    <row r="2" spans="1:29" ht="177" customHeight="1" thickBot="1" x14ac:dyDescent="0.3">
      <c r="A2" s="4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9" ht="15.75" thickBot="1" x14ac:dyDescent="0.3">
      <c r="A3" s="151" t="s">
        <v>4</v>
      </c>
      <c r="B3" s="105"/>
      <c r="C3" s="106"/>
      <c r="D3" s="152"/>
      <c r="E3" s="107"/>
      <c r="F3" s="107"/>
      <c r="G3" s="107"/>
      <c r="H3" s="108"/>
      <c r="I3" s="108"/>
      <c r="J3" s="107"/>
      <c r="K3" s="108"/>
      <c r="L3" s="107"/>
      <c r="M3" s="153"/>
      <c r="N3" s="107"/>
      <c r="O3" s="107"/>
      <c r="P3" s="107"/>
      <c r="Q3" s="107"/>
      <c r="R3" s="107"/>
      <c r="S3" s="110">
        <f>SUM(D3:R3)</f>
        <v>0</v>
      </c>
    </row>
    <row r="4" spans="1:29" s="61" customFormat="1" x14ac:dyDescent="0.25">
      <c r="A4" s="71"/>
      <c r="B4" s="2"/>
      <c r="C4" s="2"/>
      <c r="D4" s="51"/>
      <c r="E4" s="51"/>
      <c r="F4" s="51"/>
      <c r="G4" s="51"/>
      <c r="H4" s="2"/>
      <c r="I4" s="2"/>
      <c r="J4" s="2"/>
      <c r="K4" s="2"/>
      <c r="L4" s="72"/>
      <c r="M4" s="72"/>
      <c r="N4" s="2"/>
      <c r="O4" s="2"/>
      <c r="P4" s="2"/>
      <c r="Q4" s="2"/>
      <c r="R4" s="72"/>
      <c r="S4" s="50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2" customFormat="1" x14ac:dyDescent="0.25">
      <c r="A5" s="71"/>
      <c r="D5" s="51"/>
      <c r="E5" s="51"/>
      <c r="F5" s="51"/>
      <c r="G5" s="51"/>
      <c r="L5" s="72"/>
      <c r="M5" s="72"/>
      <c r="R5" s="72"/>
      <c r="S5" s="50"/>
    </row>
    <row r="6" spans="1:29" s="2" customFormat="1" x14ac:dyDescent="0.25">
      <c r="D6" s="51"/>
      <c r="E6" s="51"/>
      <c r="F6" s="51"/>
      <c r="G6" s="51"/>
      <c r="S6" s="47"/>
    </row>
    <row r="7" spans="1:29" s="52" customFormat="1" x14ac:dyDescent="0.25">
      <c r="A7" s="52" t="s">
        <v>34</v>
      </c>
    </row>
    <row r="8" spans="1:29" s="53" customFormat="1" x14ac:dyDescent="0.25">
      <c r="A8" s="53" t="s">
        <v>35</v>
      </c>
    </row>
  </sheetData>
  <mergeCells count="1">
    <mergeCell ref="A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activeCell="E11" sqref="E11"/>
    </sheetView>
  </sheetViews>
  <sheetFormatPr defaultColWidth="9" defaultRowHeight="15" x14ac:dyDescent="0.25"/>
  <cols>
    <col min="1" max="1" width="5" style="3" customWidth="1"/>
    <col min="2" max="2" width="22.140625" style="3" customWidth="1"/>
    <col min="3" max="3" width="9" style="3"/>
    <col min="4" max="7" width="9.140625" style="54" customWidth="1"/>
    <col min="8" max="19" width="9.140625" style="3" customWidth="1"/>
    <col min="20" max="31" width="9" style="2"/>
    <col min="32" max="255" width="9" style="3"/>
    <col min="256" max="256" width="5" style="3" customWidth="1"/>
    <col min="257" max="257" width="20.85546875" style="3" customWidth="1"/>
    <col min="258" max="258" width="9" style="3"/>
    <col min="259" max="275" width="9.140625" style="3" customWidth="1"/>
    <col min="276" max="511" width="9" style="3"/>
    <col min="512" max="512" width="5" style="3" customWidth="1"/>
    <col min="513" max="513" width="20.85546875" style="3" customWidth="1"/>
    <col min="514" max="514" width="9" style="3"/>
    <col min="515" max="531" width="9.140625" style="3" customWidth="1"/>
    <col min="532" max="767" width="9" style="3"/>
    <col min="768" max="768" width="5" style="3" customWidth="1"/>
    <col min="769" max="769" width="20.85546875" style="3" customWidth="1"/>
    <col min="770" max="770" width="9" style="3"/>
    <col min="771" max="787" width="9.140625" style="3" customWidth="1"/>
    <col min="788" max="1023" width="9" style="3"/>
    <col min="1024" max="1024" width="5" style="3" customWidth="1"/>
    <col min="1025" max="1025" width="20.85546875" style="3" customWidth="1"/>
    <col min="1026" max="1026" width="9" style="3"/>
    <col min="1027" max="1043" width="9.140625" style="3" customWidth="1"/>
    <col min="1044" max="1279" width="9" style="3"/>
    <col min="1280" max="1280" width="5" style="3" customWidth="1"/>
    <col min="1281" max="1281" width="20.85546875" style="3" customWidth="1"/>
    <col min="1282" max="1282" width="9" style="3"/>
    <col min="1283" max="1299" width="9.140625" style="3" customWidth="1"/>
    <col min="1300" max="1535" width="9" style="3"/>
    <col min="1536" max="1536" width="5" style="3" customWidth="1"/>
    <col min="1537" max="1537" width="20.85546875" style="3" customWidth="1"/>
    <col min="1538" max="1538" width="9" style="3"/>
    <col min="1539" max="1555" width="9.140625" style="3" customWidth="1"/>
    <col min="1556" max="1791" width="9" style="3"/>
    <col min="1792" max="1792" width="5" style="3" customWidth="1"/>
    <col min="1793" max="1793" width="20.85546875" style="3" customWidth="1"/>
    <col min="1794" max="1794" width="9" style="3"/>
    <col min="1795" max="1811" width="9.140625" style="3" customWidth="1"/>
    <col min="1812" max="2047" width="9" style="3"/>
    <col min="2048" max="2048" width="5" style="3" customWidth="1"/>
    <col min="2049" max="2049" width="20.85546875" style="3" customWidth="1"/>
    <col min="2050" max="2050" width="9" style="3"/>
    <col min="2051" max="2067" width="9.140625" style="3" customWidth="1"/>
    <col min="2068" max="2303" width="9" style="3"/>
    <col min="2304" max="2304" width="5" style="3" customWidth="1"/>
    <col min="2305" max="2305" width="20.85546875" style="3" customWidth="1"/>
    <col min="2306" max="2306" width="9" style="3"/>
    <col min="2307" max="2323" width="9.140625" style="3" customWidth="1"/>
    <col min="2324" max="2559" width="9" style="3"/>
    <col min="2560" max="2560" width="5" style="3" customWidth="1"/>
    <col min="2561" max="2561" width="20.85546875" style="3" customWidth="1"/>
    <col min="2562" max="2562" width="9" style="3"/>
    <col min="2563" max="2579" width="9.140625" style="3" customWidth="1"/>
    <col min="2580" max="2815" width="9" style="3"/>
    <col min="2816" max="2816" width="5" style="3" customWidth="1"/>
    <col min="2817" max="2817" width="20.85546875" style="3" customWidth="1"/>
    <col min="2818" max="2818" width="9" style="3"/>
    <col min="2819" max="2835" width="9.140625" style="3" customWidth="1"/>
    <col min="2836" max="3071" width="9" style="3"/>
    <col min="3072" max="3072" width="5" style="3" customWidth="1"/>
    <col min="3073" max="3073" width="20.85546875" style="3" customWidth="1"/>
    <col min="3074" max="3074" width="9" style="3"/>
    <col min="3075" max="3091" width="9.140625" style="3" customWidth="1"/>
    <col min="3092" max="3327" width="9" style="3"/>
    <col min="3328" max="3328" width="5" style="3" customWidth="1"/>
    <col min="3329" max="3329" width="20.85546875" style="3" customWidth="1"/>
    <col min="3330" max="3330" width="9" style="3"/>
    <col min="3331" max="3347" width="9.140625" style="3" customWidth="1"/>
    <col min="3348" max="3583" width="9" style="3"/>
    <col min="3584" max="3584" width="5" style="3" customWidth="1"/>
    <col min="3585" max="3585" width="20.85546875" style="3" customWidth="1"/>
    <col min="3586" max="3586" width="9" style="3"/>
    <col min="3587" max="3603" width="9.140625" style="3" customWidth="1"/>
    <col min="3604" max="3839" width="9" style="3"/>
    <col min="3840" max="3840" width="5" style="3" customWidth="1"/>
    <col min="3841" max="3841" width="20.85546875" style="3" customWidth="1"/>
    <col min="3842" max="3842" width="9" style="3"/>
    <col min="3843" max="3859" width="9.140625" style="3" customWidth="1"/>
    <col min="3860" max="4095" width="9" style="3"/>
    <col min="4096" max="4096" width="5" style="3" customWidth="1"/>
    <col min="4097" max="4097" width="20.85546875" style="3" customWidth="1"/>
    <col min="4098" max="4098" width="9" style="3"/>
    <col min="4099" max="4115" width="9.140625" style="3" customWidth="1"/>
    <col min="4116" max="4351" width="9" style="3"/>
    <col min="4352" max="4352" width="5" style="3" customWidth="1"/>
    <col min="4353" max="4353" width="20.85546875" style="3" customWidth="1"/>
    <col min="4354" max="4354" width="9" style="3"/>
    <col min="4355" max="4371" width="9.140625" style="3" customWidth="1"/>
    <col min="4372" max="4607" width="9" style="3"/>
    <col min="4608" max="4608" width="5" style="3" customWidth="1"/>
    <col min="4609" max="4609" width="20.85546875" style="3" customWidth="1"/>
    <col min="4610" max="4610" width="9" style="3"/>
    <col min="4611" max="4627" width="9.140625" style="3" customWidth="1"/>
    <col min="4628" max="4863" width="9" style="3"/>
    <col min="4864" max="4864" width="5" style="3" customWidth="1"/>
    <col min="4865" max="4865" width="20.85546875" style="3" customWidth="1"/>
    <col min="4866" max="4866" width="9" style="3"/>
    <col min="4867" max="4883" width="9.140625" style="3" customWidth="1"/>
    <col min="4884" max="5119" width="9" style="3"/>
    <col min="5120" max="5120" width="5" style="3" customWidth="1"/>
    <col min="5121" max="5121" width="20.85546875" style="3" customWidth="1"/>
    <col min="5122" max="5122" width="9" style="3"/>
    <col min="5123" max="5139" width="9.140625" style="3" customWidth="1"/>
    <col min="5140" max="5375" width="9" style="3"/>
    <col min="5376" max="5376" width="5" style="3" customWidth="1"/>
    <col min="5377" max="5377" width="20.85546875" style="3" customWidth="1"/>
    <col min="5378" max="5378" width="9" style="3"/>
    <col min="5379" max="5395" width="9.140625" style="3" customWidth="1"/>
    <col min="5396" max="5631" width="9" style="3"/>
    <col min="5632" max="5632" width="5" style="3" customWidth="1"/>
    <col min="5633" max="5633" width="20.85546875" style="3" customWidth="1"/>
    <col min="5634" max="5634" width="9" style="3"/>
    <col min="5635" max="5651" width="9.140625" style="3" customWidth="1"/>
    <col min="5652" max="5887" width="9" style="3"/>
    <col min="5888" max="5888" width="5" style="3" customWidth="1"/>
    <col min="5889" max="5889" width="20.85546875" style="3" customWidth="1"/>
    <col min="5890" max="5890" width="9" style="3"/>
    <col min="5891" max="5907" width="9.140625" style="3" customWidth="1"/>
    <col min="5908" max="6143" width="9" style="3"/>
    <col min="6144" max="6144" width="5" style="3" customWidth="1"/>
    <col min="6145" max="6145" width="20.85546875" style="3" customWidth="1"/>
    <col min="6146" max="6146" width="9" style="3"/>
    <col min="6147" max="6163" width="9.140625" style="3" customWidth="1"/>
    <col min="6164" max="6399" width="9" style="3"/>
    <col min="6400" max="6400" width="5" style="3" customWidth="1"/>
    <col min="6401" max="6401" width="20.85546875" style="3" customWidth="1"/>
    <col min="6402" max="6402" width="9" style="3"/>
    <col min="6403" max="6419" width="9.140625" style="3" customWidth="1"/>
    <col min="6420" max="6655" width="9" style="3"/>
    <col min="6656" max="6656" width="5" style="3" customWidth="1"/>
    <col min="6657" max="6657" width="20.85546875" style="3" customWidth="1"/>
    <col min="6658" max="6658" width="9" style="3"/>
    <col min="6659" max="6675" width="9.140625" style="3" customWidth="1"/>
    <col min="6676" max="6911" width="9" style="3"/>
    <col min="6912" max="6912" width="5" style="3" customWidth="1"/>
    <col min="6913" max="6913" width="20.85546875" style="3" customWidth="1"/>
    <col min="6914" max="6914" width="9" style="3"/>
    <col min="6915" max="6931" width="9.140625" style="3" customWidth="1"/>
    <col min="6932" max="7167" width="9" style="3"/>
    <col min="7168" max="7168" width="5" style="3" customWidth="1"/>
    <col min="7169" max="7169" width="20.85546875" style="3" customWidth="1"/>
    <col min="7170" max="7170" width="9" style="3"/>
    <col min="7171" max="7187" width="9.140625" style="3" customWidth="1"/>
    <col min="7188" max="7423" width="9" style="3"/>
    <col min="7424" max="7424" width="5" style="3" customWidth="1"/>
    <col min="7425" max="7425" width="20.85546875" style="3" customWidth="1"/>
    <col min="7426" max="7426" width="9" style="3"/>
    <col min="7427" max="7443" width="9.140625" style="3" customWidth="1"/>
    <col min="7444" max="7679" width="9" style="3"/>
    <col min="7680" max="7680" width="5" style="3" customWidth="1"/>
    <col min="7681" max="7681" width="20.85546875" style="3" customWidth="1"/>
    <col min="7682" max="7682" width="9" style="3"/>
    <col min="7683" max="7699" width="9.140625" style="3" customWidth="1"/>
    <col min="7700" max="7935" width="9" style="3"/>
    <col min="7936" max="7936" width="5" style="3" customWidth="1"/>
    <col min="7937" max="7937" width="20.85546875" style="3" customWidth="1"/>
    <col min="7938" max="7938" width="9" style="3"/>
    <col min="7939" max="7955" width="9.140625" style="3" customWidth="1"/>
    <col min="7956" max="8191" width="9" style="3"/>
    <col min="8192" max="8192" width="5" style="3" customWidth="1"/>
    <col min="8193" max="8193" width="20.85546875" style="3" customWidth="1"/>
    <col min="8194" max="8194" width="9" style="3"/>
    <col min="8195" max="8211" width="9.140625" style="3" customWidth="1"/>
    <col min="8212" max="8447" width="9" style="3"/>
    <col min="8448" max="8448" width="5" style="3" customWidth="1"/>
    <col min="8449" max="8449" width="20.85546875" style="3" customWidth="1"/>
    <col min="8450" max="8450" width="9" style="3"/>
    <col min="8451" max="8467" width="9.140625" style="3" customWidth="1"/>
    <col min="8468" max="8703" width="9" style="3"/>
    <col min="8704" max="8704" width="5" style="3" customWidth="1"/>
    <col min="8705" max="8705" width="20.85546875" style="3" customWidth="1"/>
    <col min="8706" max="8706" width="9" style="3"/>
    <col min="8707" max="8723" width="9.140625" style="3" customWidth="1"/>
    <col min="8724" max="8959" width="9" style="3"/>
    <col min="8960" max="8960" width="5" style="3" customWidth="1"/>
    <col min="8961" max="8961" width="20.85546875" style="3" customWidth="1"/>
    <col min="8962" max="8962" width="9" style="3"/>
    <col min="8963" max="8979" width="9.140625" style="3" customWidth="1"/>
    <col min="8980" max="9215" width="9" style="3"/>
    <col min="9216" max="9216" width="5" style="3" customWidth="1"/>
    <col min="9217" max="9217" width="20.85546875" style="3" customWidth="1"/>
    <col min="9218" max="9218" width="9" style="3"/>
    <col min="9219" max="9235" width="9.140625" style="3" customWidth="1"/>
    <col min="9236" max="9471" width="9" style="3"/>
    <col min="9472" max="9472" width="5" style="3" customWidth="1"/>
    <col min="9473" max="9473" width="20.85546875" style="3" customWidth="1"/>
    <col min="9474" max="9474" width="9" style="3"/>
    <col min="9475" max="9491" width="9.140625" style="3" customWidth="1"/>
    <col min="9492" max="9727" width="9" style="3"/>
    <col min="9728" max="9728" width="5" style="3" customWidth="1"/>
    <col min="9729" max="9729" width="20.85546875" style="3" customWidth="1"/>
    <col min="9730" max="9730" width="9" style="3"/>
    <col min="9731" max="9747" width="9.140625" style="3" customWidth="1"/>
    <col min="9748" max="9983" width="9" style="3"/>
    <col min="9984" max="9984" width="5" style="3" customWidth="1"/>
    <col min="9985" max="9985" width="20.85546875" style="3" customWidth="1"/>
    <col min="9986" max="9986" width="9" style="3"/>
    <col min="9987" max="10003" width="9.140625" style="3" customWidth="1"/>
    <col min="10004" max="10239" width="9" style="3"/>
    <col min="10240" max="10240" width="5" style="3" customWidth="1"/>
    <col min="10241" max="10241" width="20.85546875" style="3" customWidth="1"/>
    <col min="10242" max="10242" width="9" style="3"/>
    <col min="10243" max="10259" width="9.140625" style="3" customWidth="1"/>
    <col min="10260" max="10495" width="9" style="3"/>
    <col min="10496" max="10496" width="5" style="3" customWidth="1"/>
    <col min="10497" max="10497" width="20.85546875" style="3" customWidth="1"/>
    <col min="10498" max="10498" width="9" style="3"/>
    <col min="10499" max="10515" width="9.140625" style="3" customWidth="1"/>
    <col min="10516" max="10751" width="9" style="3"/>
    <col min="10752" max="10752" width="5" style="3" customWidth="1"/>
    <col min="10753" max="10753" width="20.85546875" style="3" customWidth="1"/>
    <col min="10754" max="10754" width="9" style="3"/>
    <col min="10755" max="10771" width="9.140625" style="3" customWidth="1"/>
    <col min="10772" max="11007" width="9" style="3"/>
    <col min="11008" max="11008" width="5" style="3" customWidth="1"/>
    <col min="11009" max="11009" width="20.85546875" style="3" customWidth="1"/>
    <col min="11010" max="11010" width="9" style="3"/>
    <col min="11011" max="11027" width="9.140625" style="3" customWidth="1"/>
    <col min="11028" max="11263" width="9" style="3"/>
    <col min="11264" max="11264" width="5" style="3" customWidth="1"/>
    <col min="11265" max="11265" width="20.85546875" style="3" customWidth="1"/>
    <col min="11266" max="11266" width="9" style="3"/>
    <col min="11267" max="11283" width="9.140625" style="3" customWidth="1"/>
    <col min="11284" max="11519" width="9" style="3"/>
    <col min="11520" max="11520" width="5" style="3" customWidth="1"/>
    <col min="11521" max="11521" width="20.85546875" style="3" customWidth="1"/>
    <col min="11522" max="11522" width="9" style="3"/>
    <col min="11523" max="11539" width="9.140625" style="3" customWidth="1"/>
    <col min="11540" max="11775" width="9" style="3"/>
    <col min="11776" max="11776" width="5" style="3" customWidth="1"/>
    <col min="11777" max="11777" width="20.85546875" style="3" customWidth="1"/>
    <col min="11778" max="11778" width="9" style="3"/>
    <col min="11779" max="11795" width="9.140625" style="3" customWidth="1"/>
    <col min="11796" max="12031" width="9" style="3"/>
    <col min="12032" max="12032" width="5" style="3" customWidth="1"/>
    <col min="12033" max="12033" width="20.85546875" style="3" customWidth="1"/>
    <col min="12034" max="12034" width="9" style="3"/>
    <col min="12035" max="12051" width="9.140625" style="3" customWidth="1"/>
    <col min="12052" max="12287" width="9" style="3"/>
    <col min="12288" max="12288" width="5" style="3" customWidth="1"/>
    <col min="12289" max="12289" width="20.85546875" style="3" customWidth="1"/>
    <col min="12290" max="12290" width="9" style="3"/>
    <col min="12291" max="12307" width="9.140625" style="3" customWidth="1"/>
    <col min="12308" max="12543" width="9" style="3"/>
    <col min="12544" max="12544" width="5" style="3" customWidth="1"/>
    <col min="12545" max="12545" width="20.85546875" style="3" customWidth="1"/>
    <col min="12546" max="12546" width="9" style="3"/>
    <col min="12547" max="12563" width="9.140625" style="3" customWidth="1"/>
    <col min="12564" max="12799" width="9" style="3"/>
    <col min="12800" max="12800" width="5" style="3" customWidth="1"/>
    <col min="12801" max="12801" width="20.85546875" style="3" customWidth="1"/>
    <col min="12802" max="12802" width="9" style="3"/>
    <col min="12803" max="12819" width="9.140625" style="3" customWidth="1"/>
    <col min="12820" max="13055" width="9" style="3"/>
    <col min="13056" max="13056" width="5" style="3" customWidth="1"/>
    <col min="13057" max="13057" width="20.85546875" style="3" customWidth="1"/>
    <col min="13058" max="13058" width="9" style="3"/>
    <col min="13059" max="13075" width="9.140625" style="3" customWidth="1"/>
    <col min="13076" max="13311" width="9" style="3"/>
    <col min="13312" max="13312" width="5" style="3" customWidth="1"/>
    <col min="13313" max="13313" width="20.85546875" style="3" customWidth="1"/>
    <col min="13314" max="13314" width="9" style="3"/>
    <col min="13315" max="13331" width="9.140625" style="3" customWidth="1"/>
    <col min="13332" max="13567" width="9" style="3"/>
    <col min="13568" max="13568" width="5" style="3" customWidth="1"/>
    <col min="13569" max="13569" width="20.85546875" style="3" customWidth="1"/>
    <col min="13570" max="13570" width="9" style="3"/>
    <col min="13571" max="13587" width="9.140625" style="3" customWidth="1"/>
    <col min="13588" max="13823" width="9" style="3"/>
    <col min="13824" max="13824" width="5" style="3" customWidth="1"/>
    <col min="13825" max="13825" width="20.85546875" style="3" customWidth="1"/>
    <col min="13826" max="13826" width="9" style="3"/>
    <col min="13827" max="13843" width="9.140625" style="3" customWidth="1"/>
    <col min="13844" max="14079" width="9" style="3"/>
    <col min="14080" max="14080" width="5" style="3" customWidth="1"/>
    <col min="14081" max="14081" width="20.85546875" style="3" customWidth="1"/>
    <col min="14082" max="14082" width="9" style="3"/>
    <col min="14083" max="14099" width="9.140625" style="3" customWidth="1"/>
    <col min="14100" max="14335" width="9" style="3"/>
    <col min="14336" max="14336" width="5" style="3" customWidth="1"/>
    <col min="14337" max="14337" width="20.85546875" style="3" customWidth="1"/>
    <col min="14338" max="14338" width="9" style="3"/>
    <col min="14339" max="14355" width="9.140625" style="3" customWidth="1"/>
    <col min="14356" max="14591" width="9" style="3"/>
    <col min="14592" max="14592" width="5" style="3" customWidth="1"/>
    <col min="14593" max="14593" width="20.85546875" style="3" customWidth="1"/>
    <col min="14594" max="14594" width="9" style="3"/>
    <col min="14595" max="14611" width="9.140625" style="3" customWidth="1"/>
    <col min="14612" max="14847" width="9" style="3"/>
    <col min="14848" max="14848" width="5" style="3" customWidth="1"/>
    <col min="14849" max="14849" width="20.85546875" style="3" customWidth="1"/>
    <col min="14850" max="14850" width="9" style="3"/>
    <col min="14851" max="14867" width="9.140625" style="3" customWidth="1"/>
    <col min="14868" max="15103" width="9" style="3"/>
    <col min="15104" max="15104" width="5" style="3" customWidth="1"/>
    <col min="15105" max="15105" width="20.85546875" style="3" customWidth="1"/>
    <col min="15106" max="15106" width="9" style="3"/>
    <col min="15107" max="15123" width="9.140625" style="3" customWidth="1"/>
    <col min="15124" max="15359" width="9" style="3"/>
    <col min="15360" max="15360" width="5" style="3" customWidth="1"/>
    <col min="15361" max="15361" width="20.85546875" style="3" customWidth="1"/>
    <col min="15362" max="15362" width="9" style="3"/>
    <col min="15363" max="15379" width="9.140625" style="3" customWidth="1"/>
    <col min="15380" max="15615" width="9" style="3"/>
    <col min="15616" max="15616" width="5" style="3" customWidth="1"/>
    <col min="15617" max="15617" width="20.85546875" style="3" customWidth="1"/>
    <col min="15618" max="15618" width="9" style="3"/>
    <col min="15619" max="15635" width="9.140625" style="3" customWidth="1"/>
    <col min="15636" max="15871" width="9" style="3"/>
    <col min="15872" max="15872" width="5" style="3" customWidth="1"/>
    <col min="15873" max="15873" width="20.85546875" style="3" customWidth="1"/>
    <col min="15874" max="15874" width="9" style="3"/>
    <col min="15875" max="15891" width="9.140625" style="3" customWidth="1"/>
    <col min="15892" max="16127" width="9" style="3"/>
    <col min="16128" max="16128" width="5" style="3" customWidth="1"/>
    <col min="16129" max="16129" width="20.85546875" style="3" customWidth="1"/>
    <col min="16130" max="16130" width="9" style="3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79.25" customHeight="1" thickBot="1" x14ac:dyDescent="0.3">
      <c r="A2" s="80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117" t="s">
        <v>4</v>
      </c>
      <c r="B3" s="14" t="s">
        <v>66</v>
      </c>
      <c r="C3" s="15" t="s">
        <v>24</v>
      </c>
      <c r="D3" s="84">
        <f>100-(33.68-33.68)/33.68*50</f>
        <v>100</v>
      </c>
      <c r="E3" s="17">
        <f>100-(40.22-40.22)/40.22*50</f>
        <v>100</v>
      </c>
      <c r="F3" s="17"/>
      <c r="G3" s="17"/>
      <c r="H3" s="17"/>
      <c r="I3" s="17"/>
      <c r="J3" s="17"/>
      <c r="K3" s="17"/>
      <c r="L3" s="17"/>
      <c r="M3" s="55"/>
      <c r="N3" s="17"/>
      <c r="O3" s="17"/>
      <c r="P3" s="17"/>
      <c r="Q3" s="17"/>
      <c r="R3" s="15"/>
      <c r="S3" s="67">
        <f>SUM(D3:R3)</f>
        <v>200</v>
      </c>
    </row>
    <row r="4" spans="1:21" x14ac:dyDescent="0.25">
      <c r="A4" s="81" t="s">
        <v>6</v>
      </c>
      <c r="B4" s="23" t="s">
        <v>94</v>
      </c>
      <c r="C4" s="24" t="s">
        <v>95</v>
      </c>
      <c r="D4" s="25">
        <f>100-(45.02-33.68)/33.68*50</f>
        <v>83.16508313539191</v>
      </c>
      <c r="E4" s="25">
        <f>100-(60.48-40.22)/40.22*50</f>
        <v>74.813525609149679</v>
      </c>
      <c r="F4" s="18"/>
      <c r="G4" s="18"/>
      <c r="H4" s="56"/>
      <c r="I4" s="56"/>
      <c r="J4" s="25"/>
      <c r="K4" s="56"/>
      <c r="L4" s="18"/>
      <c r="M4" s="21"/>
      <c r="N4" s="18"/>
      <c r="O4" s="18"/>
      <c r="P4" s="18"/>
      <c r="Q4" s="18"/>
      <c r="R4" s="24"/>
      <c r="S4" s="67">
        <f>SUM(D4:R4)</f>
        <v>157.97860874454159</v>
      </c>
    </row>
    <row r="5" spans="1:21" x14ac:dyDescent="0.25">
      <c r="A5" s="81" t="s">
        <v>8</v>
      </c>
      <c r="B5" s="23" t="s">
        <v>96</v>
      </c>
      <c r="C5" s="24" t="s">
        <v>95</v>
      </c>
      <c r="D5" s="25">
        <f>100-(50.93-33.68)/33.68*50</f>
        <v>74.391330166270791</v>
      </c>
      <c r="E5" s="18">
        <f>100-(60.07-40.22)/40.22*50</f>
        <v>75.323222277473889</v>
      </c>
      <c r="F5" s="18"/>
      <c r="G5" s="18"/>
      <c r="H5" s="56"/>
      <c r="I5" s="56"/>
      <c r="J5" s="56"/>
      <c r="K5" s="18"/>
      <c r="L5" s="18"/>
      <c r="M5" s="21"/>
      <c r="N5" s="18"/>
      <c r="O5" s="18"/>
      <c r="P5" s="18"/>
      <c r="Q5" s="18"/>
      <c r="R5" s="24"/>
      <c r="S5" s="67">
        <f>SUM(D5:R5)</f>
        <v>149.71455244374468</v>
      </c>
    </row>
    <row r="6" spans="1:21" x14ac:dyDescent="0.25">
      <c r="A6" s="81" t="s">
        <v>11</v>
      </c>
      <c r="B6" s="23" t="s">
        <v>92</v>
      </c>
      <c r="C6" s="24" t="s">
        <v>93</v>
      </c>
      <c r="D6" s="25">
        <f>100-(40.42-33.68)/33.68*50</f>
        <v>89.99406175771972</v>
      </c>
      <c r="E6" s="18"/>
      <c r="F6" s="18"/>
      <c r="G6" s="18"/>
      <c r="H6" s="56"/>
      <c r="I6" s="56"/>
      <c r="J6" s="25"/>
      <c r="K6" s="25"/>
      <c r="L6" s="18"/>
      <c r="M6" s="21"/>
      <c r="N6" s="18"/>
      <c r="O6" s="18"/>
      <c r="P6" s="18"/>
      <c r="Q6" s="18"/>
      <c r="R6" s="24"/>
      <c r="S6" s="67">
        <f>SUM(D6:R6)</f>
        <v>89.99406175771972</v>
      </c>
    </row>
    <row r="7" spans="1:21" x14ac:dyDescent="0.25">
      <c r="A7" s="81" t="s">
        <v>11</v>
      </c>
      <c r="B7" s="23" t="s">
        <v>84</v>
      </c>
      <c r="C7" s="24" t="s">
        <v>38</v>
      </c>
      <c r="D7" s="25">
        <f>100-(84.37-33.68)/33.68*50</f>
        <v>24.74762470308788</v>
      </c>
      <c r="E7" s="25"/>
      <c r="F7" s="18"/>
      <c r="G7" s="18"/>
      <c r="H7" s="25"/>
      <c r="I7" s="56"/>
      <c r="J7" s="25"/>
      <c r="K7" s="18"/>
      <c r="L7" s="102"/>
      <c r="M7" s="102"/>
      <c r="N7" s="102"/>
      <c r="O7" s="18"/>
      <c r="P7" s="18"/>
      <c r="Q7" s="18"/>
      <c r="R7" s="139"/>
      <c r="S7" s="67">
        <f>SUM(D7:R7)</f>
        <v>24.74762470308788</v>
      </c>
    </row>
    <row r="8" spans="1:21" x14ac:dyDescent="0.25">
      <c r="A8" s="81" t="s">
        <v>15</v>
      </c>
      <c r="B8" s="23" t="s">
        <v>97</v>
      </c>
      <c r="C8" s="24" t="s">
        <v>19</v>
      </c>
      <c r="D8" s="25">
        <f>100-(91.52-33.68)/33.68*50</f>
        <v>14.133016627078391</v>
      </c>
      <c r="E8" s="25"/>
      <c r="F8" s="18"/>
      <c r="G8" s="18"/>
      <c r="H8" s="56"/>
      <c r="I8" s="56"/>
      <c r="J8" s="25"/>
      <c r="K8" s="21"/>
      <c r="L8" s="18"/>
      <c r="M8" s="21"/>
      <c r="N8" s="18"/>
      <c r="O8" s="18"/>
      <c r="P8" s="18"/>
      <c r="Q8" s="18"/>
      <c r="R8" s="24"/>
      <c r="S8" s="67">
        <f>SUM(D8:R8)</f>
        <v>14.133016627078391</v>
      </c>
    </row>
    <row r="9" spans="1:21" x14ac:dyDescent="0.25">
      <c r="A9" s="81" t="s">
        <v>18</v>
      </c>
      <c r="B9" s="23"/>
      <c r="C9" s="24"/>
      <c r="D9" s="127"/>
      <c r="E9" s="18"/>
      <c r="F9" s="18"/>
      <c r="G9" s="18"/>
      <c r="H9" s="25"/>
      <c r="I9" s="25"/>
      <c r="J9" s="21"/>
      <c r="K9" s="56"/>
      <c r="L9" s="18"/>
      <c r="M9" s="21"/>
      <c r="N9" s="18"/>
      <c r="O9" s="18"/>
      <c r="P9" s="18"/>
      <c r="Q9" s="18"/>
      <c r="R9" s="139"/>
      <c r="S9" s="67">
        <f>SUM(D9:R9)</f>
        <v>0</v>
      </c>
    </row>
    <row r="10" spans="1:21" x14ac:dyDescent="0.25">
      <c r="A10" s="81" t="s">
        <v>20</v>
      </c>
      <c r="B10" s="23"/>
      <c r="C10" s="24"/>
      <c r="D10" s="127"/>
      <c r="E10" s="18"/>
      <c r="F10" s="18"/>
      <c r="G10" s="18"/>
      <c r="H10" s="56"/>
      <c r="I10" s="56"/>
      <c r="J10" s="25"/>
      <c r="K10" s="56"/>
      <c r="L10" s="18"/>
      <c r="M10" s="18"/>
      <c r="N10" s="18"/>
      <c r="O10" s="21"/>
      <c r="P10" s="18"/>
      <c r="Q10" s="21"/>
      <c r="R10" s="24"/>
      <c r="S10" s="67">
        <f>SUM(D10:R10)</f>
        <v>0</v>
      </c>
    </row>
    <row r="11" spans="1:21" x14ac:dyDescent="0.25">
      <c r="A11" s="81" t="s">
        <v>22</v>
      </c>
      <c r="B11" s="23"/>
      <c r="C11" s="24"/>
      <c r="D11" s="69"/>
      <c r="E11" s="18"/>
      <c r="F11" s="18"/>
      <c r="G11" s="18"/>
      <c r="H11" s="56"/>
      <c r="I11" s="56"/>
      <c r="J11" s="25"/>
      <c r="K11" s="56"/>
      <c r="L11" s="18"/>
      <c r="M11" s="21"/>
      <c r="N11" s="18"/>
      <c r="O11" s="18"/>
      <c r="P11" s="18"/>
      <c r="Q11" s="18"/>
      <c r="R11" s="24"/>
      <c r="S11" s="67">
        <f>SUM(D11:R11)</f>
        <v>0</v>
      </c>
    </row>
    <row r="12" spans="1:21" x14ac:dyDescent="0.25">
      <c r="A12" s="81" t="s">
        <v>25</v>
      </c>
      <c r="B12" s="23"/>
      <c r="C12" s="24"/>
      <c r="D12" s="127"/>
      <c r="E12" s="18"/>
      <c r="F12" s="18"/>
      <c r="G12" s="18"/>
      <c r="H12" s="56"/>
      <c r="I12" s="56"/>
      <c r="J12" s="25"/>
      <c r="K12" s="56"/>
      <c r="L12" s="18"/>
      <c r="M12" s="21"/>
      <c r="N12" s="18"/>
      <c r="O12" s="18"/>
      <c r="P12" s="18"/>
      <c r="Q12" s="18"/>
      <c r="R12" s="24"/>
      <c r="S12" s="67">
        <f>SUM(D12:R12)</f>
        <v>0</v>
      </c>
    </row>
    <row r="13" spans="1:21" x14ac:dyDescent="0.25">
      <c r="A13" s="81" t="s">
        <v>26</v>
      </c>
      <c r="B13" s="23"/>
      <c r="C13" s="24"/>
      <c r="D13" s="127"/>
      <c r="E13" s="18"/>
      <c r="F13" s="18"/>
      <c r="G13" s="18"/>
      <c r="H13" s="56"/>
      <c r="I13" s="21"/>
      <c r="J13" s="25"/>
      <c r="K13" s="21"/>
      <c r="L13" s="18"/>
      <c r="M13" s="21"/>
      <c r="N13" s="18"/>
      <c r="O13" s="18"/>
      <c r="P13" s="18"/>
      <c r="Q13" s="18"/>
      <c r="R13" s="24"/>
      <c r="S13" s="67">
        <f>SUM(D13:R13)</f>
        <v>0</v>
      </c>
    </row>
    <row r="14" spans="1:21" ht="15.75" thickBot="1" x14ac:dyDescent="0.3">
      <c r="A14" s="82" t="s">
        <v>28</v>
      </c>
      <c r="B14" s="39"/>
      <c r="C14" s="40"/>
      <c r="D14" s="128"/>
      <c r="E14" s="42"/>
      <c r="F14" s="42"/>
      <c r="G14" s="42"/>
      <c r="H14" s="59"/>
      <c r="I14" s="59"/>
      <c r="J14" s="42"/>
      <c r="K14" s="59"/>
      <c r="L14" s="42"/>
      <c r="M14" s="59"/>
      <c r="N14" s="42"/>
      <c r="O14" s="42"/>
      <c r="P14" s="145"/>
      <c r="Q14" s="42"/>
      <c r="R14" s="40"/>
      <c r="S14" s="46">
        <f>SUM(D14:R14)</f>
        <v>0</v>
      </c>
    </row>
    <row r="15" spans="1:21" x14ac:dyDescent="0.25">
      <c r="A15" s="76"/>
      <c r="B15" s="2"/>
      <c r="C15" s="2"/>
      <c r="D15" s="51"/>
      <c r="E15" s="51"/>
      <c r="F15" s="51"/>
      <c r="G15" s="5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0"/>
    </row>
    <row r="16" spans="1:21" x14ac:dyDescent="0.25">
      <c r="A16" s="76"/>
      <c r="B16" s="2"/>
      <c r="C16" s="2"/>
      <c r="D16" s="51"/>
      <c r="E16" s="51"/>
      <c r="F16" s="51"/>
      <c r="G16" s="5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50"/>
    </row>
    <row r="17" spans="1:19" x14ac:dyDescent="0.25">
      <c r="A17" s="2"/>
      <c r="B17" s="2"/>
      <c r="C17" s="2"/>
      <c r="D17" s="51"/>
      <c r="E17" s="51"/>
      <c r="F17" s="51"/>
      <c r="G17" s="5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7"/>
    </row>
    <row r="18" spans="1:19" s="52" customFormat="1" x14ac:dyDescent="0.25">
      <c r="A18" s="52" t="s">
        <v>34</v>
      </c>
    </row>
    <row r="19" spans="1:19" s="53" customFormat="1" x14ac:dyDescent="0.25">
      <c r="A19" s="53" t="s">
        <v>35</v>
      </c>
    </row>
  </sheetData>
  <sortState ref="B3:S14">
    <sortCondition descending="1" ref="S3"/>
  </sortState>
  <mergeCells count="1">
    <mergeCell ref="A1:S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selection activeCell="B3" sqref="B3:O4"/>
    </sheetView>
  </sheetViews>
  <sheetFormatPr defaultColWidth="9" defaultRowHeight="15" x14ac:dyDescent="0.25"/>
  <cols>
    <col min="1" max="1" width="5.28515625" style="3" customWidth="1"/>
    <col min="2" max="2" width="20.5703125" style="3" customWidth="1"/>
    <col min="3" max="3" width="17.85546875" style="3" customWidth="1"/>
    <col min="4" max="5" width="9.140625" style="3" customWidth="1"/>
    <col min="6" max="7" width="9.140625" style="54" customWidth="1"/>
    <col min="8" max="19" width="9.140625" style="3" customWidth="1"/>
    <col min="20" max="28" width="9" style="2"/>
    <col min="29" max="255" width="9" style="3"/>
    <col min="256" max="256" width="5.28515625" style="3" customWidth="1"/>
    <col min="257" max="257" width="20.5703125" style="3" customWidth="1"/>
    <col min="258" max="258" width="16.140625" style="3" customWidth="1"/>
    <col min="259" max="275" width="9.140625" style="3" customWidth="1"/>
    <col min="276" max="511" width="9" style="3"/>
    <col min="512" max="512" width="5.28515625" style="3" customWidth="1"/>
    <col min="513" max="513" width="20.5703125" style="3" customWidth="1"/>
    <col min="514" max="514" width="16.140625" style="3" customWidth="1"/>
    <col min="515" max="531" width="9.140625" style="3" customWidth="1"/>
    <col min="532" max="767" width="9" style="3"/>
    <col min="768" max="768" width="5.28515625" style="3" customWidth="1"/>
    <col min="769" max="769" width="20.5703125" style="3" customWidth="1"/>
    <col min="770" max="770" width="16.140625" style="3" customWidth="1"/>
    <col min="771" max="787" width="9.140625" style="3" customWidth="1"/>
    <col min="788" max="1023" width="9" style="3"/>
    <col min="1024" max="1024" width="5.28515625" style="3" customWidth="1"/>
    <col min="1025" max="1025" width="20.5703125" style="3" customWidth="1"/>
    <col min="1026" max="1026" width="16.140625" style="3" customWidth="1"/>
    <col min="1027" max="1043" width="9.140625" style="3" customWidth="1"/>
    <col min="1044" max="1279" width="9" style="3"/>
    <col min="1280" max="1280" width="5.28515625" style="3" customWidth="1"/>
    <col min="1281" max="1281" width="20.5703125" style="3" customWidth="1"/>
    <col min="1282" max="1282" width="16.140625" style="3" customWidth="1"/>
    <col min="1283" max="1299" width="9.140625" style="3" customWidth="1"/>
    <col min="1300" max="1535" width="9" style="3"/>
    <col min="1536" max="1536" width="5.28515625" style="3" customWidth="1"/>
    <col min="1537" max="1537" width="20.5703125" style="3" customWidth="1"/>
    <col min="1538" max="1538" width="16.140625" style="3" customWidth="1"/>
    <col min="1539" max="1555" width="9.140625" style="3" customWidth="1"/>
    <col min="1556" max="1791" width="9" style="3"/>
    <col min="1792" max="1792" width="5.28515625" style="3" customWidth="1"/>
    <col min="1793" max="1793" width="20.5703125" style="3" customWidth="1"/>
    <col min="1794" max="1794" width="16.140625" style="3" customWidth="1"/>
    <col min="1795" max="1811" width="9.140625" style="3" customWidth="1"/>
    <col min="1812" max="2047" width="9" style="3"/>
    <col min="2048" max="2048" width="5.28515625" style="3" customWidth="1"/>
    <col min="2049" max="2049" width="20.5703125" style="3" customWidth="1"/>
    <col min="2050" max="2050" width="16.140625" style="3" customWidth="1"/>
    <col min="2051" max="2067" width="9.140625" style="3" customWidth="1"/>
    <col min="2068" max="2303" width="9" style="3"/>
    <col min="2304" max="2304" width="5.28515625" style="3" customWidth="1"/>
    <col min="2305" max="2305" width="20.5703125" style="3" customWidth="1"/>
    <col min="2306" max="2306" width="16.140625" style="3" customWidth="1"/>
    <col min="2307" max="2323" width="9.140625" style="3" customWidth="1"/>
    <col min="2324" max="2559" width="9" style="3"/>
    <col min="2560" max="2560" width="5.28515625" style="3" customWidth="1"/>
    <col min="2561" max="2561" width="20.5703125" style="3" customWidth="1"/>
    <col min="2562" max="2562" width="16.140625" style="3" customWidth="1"/>
    <col min="2563" max="2579" width="9.140625" style="3" customWidth="1"/>
    <col min="2580" max="2815" width="9" style="3"/>
    <col min="2816" max="2816" width="5.28515625" style="3" customWidth="1"/>
    <col min="2817" max="2817" width="20.5703125" style="3" customWidth="1"/>
    <col min="2818" max="2818" width="16.140625" style="3" customWidth="1"/>
    <col min="2819" max="2835" width="9.140625" style="3" customWidth="1"/>
    <col min="2836" max="3071" width="9" style="3"/>
    <col min="3072" max="3072" width="5.28515625" style="3" customWidth="1"/>
    <col min="3073" max="3073" width="20.5703125" style="3" customWidth="1"/>
    <col min="3074" max="3074" width="16.140625" style="3" customWidth="1"/>
    <col min="3075" max="3091" width="9.140625" style="3" customWidth="1"/>
    <col min="3092" max="3327" width="9" style="3"/>
    <col min="3328" max="3328" width="5.28515625" style="3" customWidth="1"/>
    <col min="3329" max="3329" width="20.5703125" style="3" customWidth="1"/>
    <col min="3330" max="3330" width="16.140625" style="3" customWidth="1"/>
    <col min="3331" max="3347" width="9.140625" style="3" customWidth="1"/>
    <col min="3348" max="3583" width="9" style="3"/>
    <col min="3584" max="3584" width="5.28515625" style="3" customWidth="1"/>
    <col min="3585" max="3585" width="20.5703125" style="3" customWidth="1"/>
    <col min="3586" max="3586" width="16.140625" style="3" customWidth="1"/>
    <col min="3587" max="3603" width="9.140625" style="3" customWidth="1"/>
    <col min="3604" max="3839" width="9" style="3"/>
    <col min="3840" max="3840" width="5.28515625" style="3" customWidth="1"/>
    <col min="3841" max="3841" width="20.5703125" style="3" customWidth="1"/>
    <col min="3842" max="3842" width="16.140625" style="3" customWidth="1"/>
    <col min="3843" max="3859" width="9.140625" style="3" customWidth="1"/>
    <col min="3860" max="4095" width="9" style="3"/>
    <col min="4096" max="4096" width="5.28515625" style="3" customWidth="1"/>
    <col min="4097" max="4097" width="20.5703125" style="3" customWidth="1"/>
    <col min="4098" max="4098" width="16.140625" style="3" customWidth="1"/>
    <col min="4099" max="4115" width="9.140625" style="3" customWidth="1"/>
    <col min="4116" max="4351" width="9" style="3"/>
    <col min="4352" max="4352" width="5.28515625" style="3" customWidth="1"/>
    <col min="4353" max="4353" width="20.5703125" style="3" customWidth="1"/>
    <col min="4354" max="4354" width="16.140625" style="3" customWidth="1"/>
    <col min="4355" max="4371" width="9.140625" style="3" customWidth="1"/>
    <col min="4372" max="4607" width="9" style="3"/>
    <col min="4608" max="4608" width="5.28515625" style="3" customWidth="1"/>
    <col min="4609" max="4609" width="20.5703125" style="3" customWidth="1"/>
    <col min="4610" max="4610" width="16.140625" style="3" customWidth="1"/>
    <col min="4611" max="4627" width="9.140625" style="3" customWidth="1"/>
    <col min="4628" max="4863" width="9" style="3"/>
    <col min="4864" max="4864" width="5.28515625" style="3" customWidth="1"/>
    <col min="4865" max="4865" width="20.5703125" style="3" customWidth="1"/>
    <col min="4866" max="4866" width="16.140625" style="3" customWidth="1"/>
    <col min="4867" max="4883" width="9.140625" style="3" customWidth="1"/>
    <col min="4884" max="5119" width="9" style="3"/>
    <col min="5120" max="5120" width="5.28515625" style="3" customWidth="1"/>
    <col min="5121" max="5121" width="20.5703125" style="3" customWidth="1"/>
    <col min="5122" max="5122" width="16.140625" style="3" customWidth="1"/>
    <col min="5123" max="5139" width="9.140625" style="3" customWidth="1"/>
    <col min="5140" max="5375" width="9" style="3"/>
    <col min="5376" max="5376" width="5.28515625" style="3" customWidth="1"/>
    <col min="5377" max="5377" width="20.5703125" style="3" customWidth="1"/>
    <col min="5378" max="5378" width="16.140625" style="3" customWidth="1"/>
    <col min="5379" max="5395" width="9.140625" style="3" customWidth="1"/>
    <col min="5396" max="5631" width="9" style="3"/>
    <col min="5632" max="5632" width="5.28515625" style="3" customWidth="1"/>
    <col min="5633" max="5633" width="20.5703125" style="3" customWidth="1"/>
    <col min="5634" max="5634" width="16.140625" style="3" customWidth="1"/>
    <col min="5635" max="5651" width="9.140625" style="3" customWidth="1"/>
    <col min="5652" max="5887" width="9" style="3"/>
    <col min="5888" max="5888" width="5.28515625" style="3" customWidth="1"/>
    <col min="5889" max="5889" width="20.5703125" style="3" customWidth="1"/>
    <col min="5890" max="5890" width="16.140625" style="3" customWidth="1"/>
    <col min="5891" max="5907" width="9.140625" style="3" customWidth="1"/>
    <col min="5908" max="6143" width="9" style="3"/>
    <col min="6144" max="6144" width="5.28515625" style="3" customWidth="1"/>
    <col min="6145" max="6145" width="20.5703125" style="3" customWidth="1"/>
    <col min="6146" max="6146" width="16.140625" style="3" customWidth="1"/>
    <col min="6147" max="6163" width="9.140625" style="3" customWidth="1"/>
    <col min="6164" max="6399" width="9" style="3"/>
    <col min="6400" max="6400" width="5.28515625" style="3" customWidth="1"/>
    <col min="6401" max="6401" width="20.5703125" style="3" customWidth="1"/>
    <col min="6402" max="6402" width="16.140625" style="3" customWidth="1"/>
    <col min="6403" max="6419" width="9.140625" style="3" customWidth="1"/>
    <col min="6420" max="6655" width="9" style="3"/>
    <col min="6656" max="6656" width="5.28515625" style="3" customWidth="1"/>
    <col min="6657" max="6657" width="20.5703125" style="3" customWidth="1"/>
    <col min="6658" max="6658" width="16.140625" style="3" customWidth="1"/>
    <col min="6659" max="6675" width="9.140625" style="3" customWidth="1"/>
    <col min="6676" max="6911" width="9" style="3"/>
    <col min="6912" max="6912" width="5.28515625" style="3" customWidth="1"/>
    <col min="6913" max="6913" width="20.5703125" style="3" customWidth="1"/>
    <col min="6914" max="6914" width="16.140625" style="3" customWidth="1"/>
    <col min="6915" max="6931" width="9.140625" style="3" customWidth="1"/>
    <col min="6932" max="7167" width="9" style="3"/>
    <col min="7168" max="7168" width="5.28515625" style="3" customWidth="1"/>
    <col min="7169" max="7169" width="20.5703125" style="3" customWidth="1"/>
    <col min="7170" max="7170" width="16.140625" style="3" customWidth="1"/>
    <col min="7171" max="7187" width="9.140625" style="3" customWidth="1"/>
    <col min="7188" max="7423" width="9" style="3"/>
    <col min="7424" max="7424" width="5.28515625" style="3" customWidth="1"/>
    <col min="7425" max="7425" width="20.5703125" style="3" customWidth="1"/>
    <col min="7426" max="7426" width="16.140625" style="3" customWidth="1"/>
    <col min="7427" max="7443" width="9.140625" style="3" customWidth="1"/>
    <col min="7444" max="7679" width="9" style="3"/>
    <col min="7680" max="7680" width="5.28515625" style="3" customWidth="1"/>
    <col min="7681" max="7681" width="20.5703125" style="3" customWidth="1"/>
    <col min="7682" max="7682" width="16.140625" style="3" customWidth="1"/>
    <col min="7683" max="7699" width="9.140625" style="3" customWidth="1"/>
    <col min="7700" max="7935" width="9" style="3"/>
    <col min="7936" max="7936" width="5.28515625" style="3" customWidth="1"/>
    <col min="7937" max="7937" width="20.5703125" style="3" customWidth="1"/>
    <col min="7938" max="7938" width="16.140625" style="3" customWidth="1"/>
    <col min="7939" max="7955" width="9.140625" style="3" customWidth="1"/>
    <col min="7956" max="8191" width="9" style="3"/>
    <col min="8192" max="8192" width="5.28515625" style="3" customWidth="1"/>
    <col min="8193" max="8193" width="20.5703125" style="3" customWidth="1"/>
    <col min="8194" max="8194" width="16.140625" style="3" customWidth="1"/>
    <col min="8195" max="8211" width="9.140625" style="3" customWidth="1"/>
    <col min="8212" max="8447" width="9" style="3"/>
    <col min="8448" max="8448" width="5.28515625" style="3" customWidth="1"/>
    <col min="8449" max="8449" width="20.5703125" style="3" customWidth="1"/>
    <col min="8450" max="8450" width="16.140625" style="3" customWidth="1"/>
    <col min="8451" max="8467" width="9.140625" style="3" customWidth="1"/>
    <col min="8468" max="8703" width="9" style="3"/>
    <col min="8704" max="8704" width="5.28515625" style="3" customWidth="1"/>
    <col min="8705" max="8705" width="20.5703125" style="3" customWidth="1"/>
    <col min="8706" max="8706" width="16.140625" style="3" customWidth="1"/>
    <col min="8707" max="8723" width="9.140625" style="3" customWidth="1"/>
    <col min="8724" max="8959" width="9" style="3"/>
    <col min="8960" max="8960" width="5.28515625" style="3" customWidth="1"/>
    <col min="8961" max="8961" width="20.5703125" style="3" customWidth="1"/>
    <col min="8962" max="8962" width="16.140625" style="3" customWidth="1"/>
    <col min="8963" max="8979" width="9.140625" style="3" customWidth="1"/>
    <col min="8980" max="9215" width="9" style="3"/>
    <col min="9216" max="9216" width="5.28515625" style="3" customWidth="1"/>
    <col min="9217" max="9217" width="20.5703125" style="3" customWidth="1"/>
    <col min="9218" max="9218" width="16.140625" style="3" customWidth="1"/>
    <col min="9219" max="9235" width="9.140625" style="3" customWidth="1"/>
    <col min="9236" max="9471" width="9" style="3"/>
    <col min="9472" max="9472" width="5.28515625" style="3" customWidth="1"/>
    <col min="9473" max="9473" width="20.5703125" style="3" customWidth="1"/>
    <col min="9474" max="9474" width="16.140625" style="3" customWidth="1"/>
    <col min="9475" max="9491" width="9.140625" style="3" customWidth="1"/>
    <col min="9492" max="9727" width="9" style="3"/>
    <col min="9728" max="9728" width="5.28515625" style="3" customWidth="1"/>
    <col min="9729" max="9729" width="20.5703125" style="3" customWidth="1"/>
    <col min="9730" max="9730" width="16.140625" style="3" customWidth="1"/>
    <col min="9731" max="9747" width="9.140625" style="3" customWidth="1"/>
    <col min="9748" max="9983" width="9" style="3"/>
    <col min="9984" max="9984" width="5.28515625" style="3" customWidth="1"/>
    <col min="9985" max="9985" width="20.5703125" style="3" customWidth="1"/>
    <col min="9986" max="9986" width="16.140625" style="3" customWidth="1"/>
    <col min="9987" max="10003" width="9.140625" style="3" customWidth="1"/>
    <col min="10004" max="10239" width="9" style="3"/>
    <col min="10240" max="10240" width="5.28515625" style="3" customWidth="1"/>
    <col min="10241" max="10241" width="20.5703125" style="3" customWidth="1"/>
    <col min="10242" max="10242" width="16.140625" style="3" customWidth="1"/>
    <col min="10243" max="10259" width="9.140625" style="3" customWidth="1"/>
    <col min="10260" max="10495" width="9" style="3"/>
    <col min="10496" max="10496" width="5.28515625" style="3" customWidth="1"/>
    <col min="10497" max="10497" width="20.5703125" style="3" customWidth="1"/>
    <col min="10498" max="10498" width="16.140625" style="3" customWidth="1"/>
    <col min="10499" max="10515" width="9.140625" style="3" customWidth="1"/>
    <col min="10516" max="10751" width="9" style="3"/>
    <col min="10752" max="10752" width="5.28515625" style="3" customWidth="1"/>
    <col min="10753" max="10753" width="20.5703125" style="3" customWidth="1"/>
    <col min="10754" max="10754" width="16.140625" style="3" customWidth="1"/>
    <col min="10755" max="10771" width="9.140625" style="3" customWidth="1"/>
    <col min="10772" max="11007" width="9" style="3"/>
    <col min="11008" max="11008" width="5.28515625" style="3" customWidth="1"/>
    <col min="11009" max="11009" width="20.5703125" style="3" customWidth="1"/>
    <col min="11010" max="11010" width="16.140625" style="3" customWidth="1"/>
    <col min="11011" max="11027" width="9.140625" style="3" customWidth="1"/>
    <col min="11028" max="11263" width="9" style="3"/>
    <col min="11264" max="11264" width="5.28515625" style="3" customWidth="1"/>
    <col min="11265" max="11265" width="20.5703125" style="3" customWidth="1"/>
    <col min="11266" max="11266" width="16.140625" style="3" customWidth="1"/>
    <col min="11267" max="11283" width="9.140625" style="3" customWidth="1"/>
    <col min="11284" max="11519" width="9" style="3"/>
    <col min="11520" max="11520" width="5.28515625" style="3" customWidth="1"/>
    <col min="11521" max="11521" width="20.5703125" style="3" customWidth="1"/>
    <col min="11522" max="11522" width="16.140625" style="3" customWidth="1"/>
    <col min="11523" max="11539" width="9.140625" style="3" customWidth="1"/>
    <col min="11540" max="11775" width="9" style="3"/>
    <col min="11776" max="11776" width="5.28515625" style="3" customWidth="1"/>
    <col min="11777" max="11777" width="20.5703125" style="3" customWidth="1"/>
    <col min="11778" max="11778" width="16.140625" style="3" customWidth="1"/>
    <col min="11779" max="11795" width="9.140625" style="3" customWidth="1"/>
    <col min="11796" max="12031" width="9" style="3"/>
    <col min="12032" max="12032" width="5.28515625" style="3" customWidth="1"/>
    <col min="12033" max="12033" width="20.5703125" style="3" customWidth="1"/>
    <col min="12034" max="12034" width="16.140625" style="3" customWidth="1"/>
    <col min="12035" max="12051" width="9.140625" style="3" customWidth="1"/>
    <col min="12052" max="12287" width="9" style="3"/>
    <col min="12288" max="12288" width="5.28515625" style="3" customWidth="1"/>
    <col min="12289" max="12289" width="20.5703125" style="3" customWidth="1"/>
    <col min="12290" max="12290" width="16.140625" style="3" customWidth="1"/>
    <col min="12291" max="12307" width="9.140625" style="3" customWidth="1"/>
    <col min="12308" max="12543" width="9" style="3"/>
    <col min="12544" max="12544" width="5.28515625" style="3" customWidth="1"/>
    <col min="12545" max="12545" width="20.5703125" style="3" customWidth="1"/>
    <col min="12546" max="12546" width="16.140625" style="3" customWidth="1"/>
    <col min="12547" max="12563" width="9.140625" style="3" customWidth="1"/>
    <col min="12564" max="12799" width="9" style="3"/>
    <col min="12800" max="12800" width="5.28515625" style="3" customWidth="1"/>
    <col min="12801" max="12801" width="20.5703125" style="3" customWidth="1"/>
    <col min="12802" max="12802" width="16.140625" style="3" customWidth="1"/>
    <col min="12803" max="12819" width="9.140625" style="3" customWidth="1"/>
    <col min="12820" max="13055" width="9" style="3"/>
    <col min="13056" max="13056" width="5.28515625" style="3" customWidth="1"/>
    <col min="13057" max="13057" width="20.5703125" style="3" customWidth="1"/>
    <col min="13058" max="13058" width="16.140625" style="3" customWidth="1"/>
    <col min="13059" max="13075" width="9.140625" style="3" customWidth="1"/>
    <col min="13076" max="13311" width="9" style="3"/>
    <col min="13312" max="13312" width="5.28515625" style="3" customWidth="1"/>
    <col min="13313" max="13313" width="20.5703125" style="3" customWidth="1"/>
    <col min="13314" max="13314" width="16.140625" style="3" customWidth="1"/>
    <col min="13315" max="13331" width="9.140625" style="3" customWidth="1"/>
    <col min="13332" max="13567" width="9" style="3"/>
    <col min="13568" max="13568" width="5.28515625" style="3" customWidth="1"/>
    <col min="13569" max="13569" width="20.5703125" style="3" customWidth="1"/>
    <col min="13570" max="13570" width="16.140625" style="3" customWidth="1"/>
    <col min="13571" max="13587" width="9.140625" style="3" customWidth="1"/>
    <col min="13588" max="13823" width="9" style="3"/>
    <col min="13824" max="13824" width="5.28515625" style="3" customWidth="1"/>
    <col min="13825" max="13825" width="20.5703125" style="3" customWidth="1"/>
    <col min="13826" max="13826" width="16.140625" style="3" customWidth="1"/>
    <col min="13827" max="13843" width="9.140625" style="3" customWidth="1"/>
    <col min="13844" max="14079" width="9" style="3"/>
    <col min="14080" max="14080" width="5.28515625" style="3" customWidth="1"/>
    <col min="14081" max="14081" width="20.5703125" style="3" customWidth="1"/>
    <col min="14082" max="14082" width="16.140625" style="3" customWidth="1"/>
    <col min="14083" max="14099" width="9.140625" style="3" customWidth="1"/>
    <col min="14100" max="14335" width="9" style="3"/>
    <col min="14336" max="14336" width="5.28515625" style="3" customWidth="1"/>
    <col min="14337" max="14337" width="20.5703125" style="3" customWidth="1"/>
    <col min="14338" max="14338" width="16.140625" style="3" customWidth="1"/>
    <col min="14339" max="14355" width="9.140625" style="3" customWidth="1"/>
    <col min="14356" max="14591" width="9" style="3"/>
    <col min="14592" max="14592" width="5.28515625" style="3" customWidth="1"/>
    <col min="14593" max="14593" width="20.5703125" style="3" customWidth="1"/>
    <col min="14594" max="14594" width="16.140625" style="3" customWidth="1"/>
    <col min="14595" max="14611" width="9.140625" style="3" customWidth="1"/>
    <col min="14612" max="14847" width="9" style="3"/>
    <col min="14848" max="14848" width="5.28515625" style="3" customWidth="1"/>
    <col min="14849" max="14849" width="20.5703125" style="3" customWidth="1"/>
    <col min="14850" max="14850" width="16.140625" style="3" customWidth="1"/>
    <col min="14851" max="14867" width="9.140625" style="3" customWidth="1"/>
    <col min="14868" max="15103" width="9" style="3"/>
    <col min="15104" max="15104" width="5.28515625" style="3" customWidth="1"/>
    <col min="15105" max="15105" width="20.5703125" style="3" customWidth="1"/>
    <col min="15106" max="15106" width="16.140625" style="3" customWidth="1"/>
    <col min="15107" max="15123" width="9.140625" style="3" customWidth="1"/>
    <col min="15124" max="15359" width="9" style="3"/>
    <col min="15360" max="15360" width="5.28515625" style="3" customWidth="1"/>
    <col min="15361" max="15361" width="20.5703125" style="3" customWidth="1"/>
    <col min="15362" max="15362" width="16.140625" style="3" customWidth="1"/>
    <col min="15363" max="15379" width="9.140625" style="3" customWidth="1"/>
    <col min="15380" max="15615" width="9" style="3"/>
    <col min="15616" max="15616" width="5.28515625" style="3" customWidth="1"/>
    <col min="15617" max="15617" width="20.5703125" style="3" customWidth="1"/>
    <col min="15618" max="15618" width="16.140625" style="3" customWidth="1"/>
    <col min="15619" max="15635" width="9.140625" style="3" customWidth="1"/>
    <col min="15636" max="15871" width="9" style="3"/>
    <col min="15872" max="15872" width="5.28515625" style="3" customWidth="1"/>
    <col min="15873" max="15873" width="20.5703125" style="3" customWidth="1"/>
    <col min="15874" max="15874" width="16.140625" style="3" customWidth="1"/>
    <col min="15875" max="15891" width="9.140625" style="3" customWidth="1"/>
    <col min="15892" max="16127" width="9" style="3"/>
    <col min="16128" max="16128" width="5.28515625" style="3" customWidth="1"/>
    <col min="16129" max="16129" width="20.5703125" style="3" customWidth="1"/>
    <col min="16130" max="16130" width="16.14062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80.75" customHeight="1" thickBot="1" x14ac:dyDescent="0.3">
      <c r="A2" s="4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78" t="s">
        <v>4</v>
      </c>
      <c r="B3" s="14"/>
      <c r="C3" s="15"/>
      <c r="D3" s="73"/>
      <c r="E3" s="17"/>
      <c r="F3" s="73"/>
      <c r="G3" s="73"/>
      <c r="H3" s="73"/>
      <c r="I3" s="73"/>
      <c r="J3" s="79"/>
      <c r="K3" s="73"/>
      <c r="L3" s="73"/>
      <c r="M3" s="73"/>
      <c r="N3" s="17"/>
      <c r="O3" s="17"/>
      <c r="P3" s="17"/>
      <c r="Q3" s="17"/>
      <c r="R3" s="17"/>
      <c r="S3" s="20">
        <f>SUM(D3:R3)</f>
        <v>0</v>
      </c>
    </row>
    <row r="4" spans="1:21" ht="15.75" thickBot="1" x14ac:dyDescent="0.3">
      <c r="A4" s="38" t="s">
        <v>6</v>
      </c>
      <c r="B4" s="39"/>
      <c r="C4" s="40"/>
      <c r="D4" s="149"/>
      <c r="E4" s="42"/>
      <c r="F4" s="43"/>
      <c r="G4" s="43"/>
      <c r="H4" s="150"/>
      <c r="I4" s="42"/>
      <c r="J4" s="42"/>
      <c r="K4" s="43"/>
      <c r="L4" s="42"/>
      <c r="M4" s="42"/>
      <c r="N4" s="45"/>
      <c r="O4" s="45"/>
      <c r="P4" s="45"/>
      <c r="Q4" s="45"/>
      <c r="R4" s="147"/>
      <c r="S4" s="103">
        <f>SUM(D4:R4)</f>
        <v>0</v>
      </c>
    </row>
    <row r="5" spans="1:21" x14ac:dyDescent="0.25">
      <c r="A5" s="2"/>
      <c r="B5" s="2"/>
      <c r="C5" s="2"/>
      <c r="D5" s="2"/>
      <c r="E5" s="2"/>
      <c r="F5" s="51"/>
      <c r="G5" s="51"/>
      <c r="H5" s="2"/>
      <c r="I5" s="2"/>
      <c r="J5" s="2"/>
      <c r="K5" s="2"/>
      <c r="L5" s="2"/>
      <c r="M5" s="2"/>
      <c r="N5" s="2"/>
      <c r="O5" s="2"/>
      <c r="P5" s="2"/>
      <c r="Q5" s="2"/>
      <c r="R5" s="47"/>
      <c r="S5" s="2"/>
    </row>
    <row r="6" spans="1:21" s="52" customFormat="1" x14ac:dyDescent="0.25">
      <c r="A6" s="52" t="s">
        <v>34</v>
      </c>
    </row>
    <row r="7" spans="1:21" s="53" customFormat="1" x14ac:dyDescent="0.25">
      <c r="A7" s="53" t="s">
        <v>35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R17" sqref="R17"/>
    </sheetView>
  </sheetViews>
  <sheetFormatPr defaultColWidth="9" defaultRowHeight="15" x14ac:dyDescent="0.25"/>
  <cols>
    <col min="1" max="1" width="5" style="3" customWidth="1"/>
    <col min="2" max="2" width="20.7109375" style="3" customWidth="1"/>
    <col min="3" max="3" width="17.85546875" style="3" customWidth="1"/>
    <col min="4" max="5" width="9.140625" style="3" customWidth="1"/>
    <col min="6" max="7" width="9.140625" style="54" customWidth="1"/>
    <col min="8" max="19" width="9.140625" style="3" customWidth="1"/>
    <col min="20" max="28" width="9" style="2"/>
    <col min="29" max="255" width="9" style="3"/>
    <col min="256" max="256" width="5" style="3" customWidth="1"/>
    <col min="257" max="257" width="17.5703125" style="3" customWidth="1"/>
    <col min="258" max="258" width="17.85546875" style="3" customWidth="1"/>
    <col min="259" max="275" width="9.140625" style="3" customWidth="1"/>
    <col min="276" max="511" width="9" style="3"/>
    <col min="512" max="512" width="5" style="3" customWidth="1"/>
    <col min="513" max="513" width="17.5703125" style="3" customWidth="1"/>
    <col min="514" max="514" width="17.85546875" style="3" customWidth="1"/>
    <col min="515" max="531" width="9.140625" style="3" customWidth="1"/>
    <col min="532" max="767" width="9" style="3"/>
    <col min="768" max="768" width="5" style="3" customWidth="1"/>
    <col min="769" max="769" width="17.5703125" style="3" customWidth="1"/>
    <col min="770" max="770" width="17.85546875" style="3" customWidth="1"/>
    <col min="771" max="787" width="9.140625" style="3" customWidth="1"/>
    <col min="788" max="1023" width="9" style="3"/>
    <col min="1024" max="1024" width="5" style="3" customWidth="1"/>
    <col min="1025" max="1025" width="17.5703125" style="3" customWidth="1"/>
    <col min="1026" max="1026" width="17.85546875" style="3" customWidth="1"/>
    <col min="1027" max="1043" width="9.140625" style="3" customWidth="1"/>
    <col min="1044" max="1279" width="9" style="3"/>
    <col min="1280" max="1280" width="5" style="3" customWidth="1"/>
    <col min="1281" max="1281" width="17.5703125" style="3" customWidth="1"/>
    <col min="1282" max="1282" width="17.85546875" style="3" customWidth="1"/>
    <col min="1283" max="1299" width="9.140625" style="3" customWidth="1"/>
    <col min="1300" max="1535" width="9" style="3"/>
    <col min="1536" max="1536" width="5" style="3" customWidth="1"/>
    <col min="1537" max="1537" width="17.5703125" style="3" customWidth="1"/>
    <col min="1538" max="1538" width="17.85546875" style="3" customWidth="1"/>
    <col min="1539" max="1555" width="9.140625" style="3" customWidth="1"/>
    <col min="1556" max="1791" width="9" style="3"/>
    <col min="1792" max="1792" width="5" style="3" customWidth="1"/>
    <col min="1793" max="1793" width="17.5703125" style="3" customWidth="1"/>
    <col min="1794" max="1794" width="17.85546875" style="3" customWidth="1"/>
    <col min="1795" max="1811" width="9.140625" style="3" customWidth="1"/>
    <col min="1812" max="2047" width="9" style="3"/>
    <col min="2048" max="2048" width="5" style="3" customWidth="1"/>
    <col min="2049" max="2049" width="17.5703125" style="3" customWidth="1"/>
    <col min="2050" max="2050" width="17.85546875" style="3" customWidth="1"/>
    <col min="2051" max="2067" width="9.140625" style="3" customWidth="1"/>
    <col min="2068" max="2303" width="9" style="3"/>
    <col min="2304" max="2304" width="5" style="3" customWidth="1"/>
    <col min="2305" max="2305" width="17.5703125" style="3" customWidth="1"/>
    <col min="2306" max="2306" width="17.85546875" style="3" customWidth="1"/>
    <col min="2307" max="2323" width="9.140625" style="3" customWidth="1"/>
    <col min="2324" max="2559" width="9" style="3"/>
    <col min="2560" max="2560" width="5" style="3" customWidth="1"/>
    <col min="2561" max="2561" width="17.5703125" style="3" customWidth="1"/>
    <col min="2562" max="2562" width="17.85546875" style="3" customWidth="1"/>
    <col min="2563" max="2579" width="9.140625" style="3" customWidth="1"/>
    <col min="2580" max="2815" width="9" style="3"/>
    <col min="2816" max="2816" width="5" style="3" customWidth="1"/>
    <col min="2817" max="2817" width="17.5703125" style="3" customWidth="1"/>
    <col min="2818" max="2818" width="17.85546875" style="3" customWidth="1"/>
    <col min="2819" max="2835" width="9.140625" style="3" customWidth="1"/>
    <col min="2836" max="3071" width="9" style="3"/>
    <col min="3072" max="3072" width="5" style="3" customWidth="1"/>
    <col min="3073" max="3073" width="17.5703125" style="3" customWidth="1"/>
    <col min="3074" max="3074" width="17.85546875" style="3" customWidth="1"/>
    <col min="3075" max="3091" width="9.140625" style="3" customWidth="1"/>
    <col min="3092" max="3327" width="9" style="3"/>
    <col min="3328" max="3328" width="5" style="3" customWidth="1"/>
    <col min="3329" max="3329" width="17.5703125" style="3" customWidth="1"/>
    <col min="3330" max="3330" width="17.85546875" style="3" customWidth="1"/>
    <col min="3331" max="3347" width="9.140625" style="3" customWidth="1"/>
    <col min="3348" max="3583" width="9" style="3"/>
    <col min="3584" max="3584" width="5" style="3" customWidth="1"/>
    <col min="3585" max="3585" width="17.5703125" style="3" customWidth="1"/>
    <col min="3586" max="3586" width="17.85546875" style="3" customWidth="1"/>
    <col min="3587" max="3603" width="9.140625" style="3" customWidth="1"/>
    <col min="3604" max="3839" width="9" style="3"/>
    <col min="3840" max="3840" width="5" style="3" customWidth="1"/>
    <col min="3841" max="3841" width="17.5703125" style="3" customWidth="1"/>
    <col min="3842" max="3842" width="17.85546875" style="3" customWidth="1"/>
    <col min="3843" max="3859" width="9.140625" style="3" customWidth="1"/>
    <col min="3860" max="4095" width="9" style="3"/>
    <col min="4096" max="4096" width="5" style="3" customWidth="1"/>
    <col min="4097" max="4097" width="17.5703125" style="3" customWidth="1"/>
    <col min="4098" max="4098" width="17.85546875" style="3" customWidth="1"/>
    <col min="4099" max="4115" width="9.140625" style="3" customWidth="1"/>
    <col min="4116" max="4351" width="9" style="3"/>
    <col min="4352" max="4352" width="5" style="3" customWidth="1"/>
    <col min="4353" max="4353" width="17.5703125" style="3" customWidth="1"/>
    <col min="4354" max="4354" width="17.85546875" style="3" customWidth="1"/>
    <col min="4355" max="4371" width="9.140625" style="3" customWidth="1"/>
    <col min="4372" max="4607" width="9" style="3"/>
    <col min="4608" max="4608" width="5" style="3" customWidth="1"/>
    <col min="4609" max="4609" width="17.5703125" style="3" customWidth="1"/>
    <col min="4610" max="4610" width="17.85546875" style="3" customWidth="1"/>
    <col min="4611" max="4627" width="9.140625" style="3" customWidth="1"/>
    <col min="4628" max="4863" width="9" style="3"/>
    <col min="4864" max="4864" width="5" style="3" customWidth="1"/>
    <col min="4865" max="4865" width="17.5703125" style="3" customWidth="1"/>
    <col min="4866" max="4866" width="17.85546875" style="3" customWidth="1"/>
    <col min="4867" max="4883" width="9.140625" style="3" customWidth="1"/>
    <col min="4884" max="5119" width="9" style="3"/>
    <col min="5120" max="5120" width="5" style="3" customWidth="1"/>
    <col min="5121" max="5121" width="17.5703125" style="3" customWidth="1"/>
    <col min="5122" max="5122" width="17.85546875" style="3" customWidth="1"/>
    <col min="5123" max="5139" width="9.140625" style="3" customWidth="1"/>
    <col min="5140" max="5375" width="9" style="3"/>
    <col min="5376" max="5376" width="5" style="3" customWidth="1"/>
    <col min="5377" max="5377" width="17.5703125" style="3" customWidth="1"/>
    <col min="5378" max="5378" width="17.85546875" style="3" customWidth="1"/>
    <col min="5379" max="5395" width="9.140625" style="3" customWidth="1"/>
    <col min="5396" max="5631" width="9" style="3"/>
    <col min="5632" max="5632" width="5" style="3" customWidth="1"/>
    <col min="5633" max="5633" width="17.5703125" style="3" customWidth="1"/>
    <col min="5634" max="5634" width="17.85546875" style="3" customWidth="1"/>
    <col min="5635" max="5651" width="9.140625" style="3" customWidth="1"/>
    <col min="5652" max="5887" width="9" style="3"/>
    <col min="5888" max="5888" width="5" style="3" customWidth="1"/>
    <col min="5889" max="5889" width="17.5703125" style="3" customWidth="1"/>
    <col min="5890" max="5890" width="17.85546875" style="3" customWidth="1"/>
    <col min="5891" max="5907" width="9.140625" style="3" customWidth="1"/>
    <col min="5908" max="6143" width="9" style="3"/>
    <col min="6144" max="6144" width="5" style="3" customWidth="1"/>
    <col min="6145" max="6145" width="17.5703125" style="3" customWidth="1"/>
    <col min="6146" max="6146" width="17.85546875" style="3" customWidth="1"/>
    <col min="6147" max="6163" width="9.140625" style="3" customWidth="1"/>
    <col min="6164" max="6399" width="9" style="3"/>
    <col min="6400" max="6400" width="5" style="3" customWidth="1"/>
    <col min="6401" max="6401" width="17.5703125" style="3" customWidth="1"/>
    <col min="6402" max="6402" width="17.85546875" style="3" customWidth="1"/>
    <col min="6403" max="6419" width="9.140625" style="3" customWidth="1"/>
    <col min="6420" max="6655" width="9" style="3"/>
    <col min="6656" max="6656" width="5" style="3" customWidth="1"/>
    <col min="6657" max="6657" width="17.5703125" style="3" customWidth="1"/>
    <col min="6658" max="6658" width="17.85546875" style="3" customWidth="1"/>
    <col min="6659" max="6675" width="9.140625" style="3" customWidth="1"/>
    <col min="6676" max="6911" width="9" style="3"/>
    <col min="6912" max="6912" width="5" style="3" customWidth="1"/>
    <col min="6913" max="6913" width="17.5703125" style="3" customWidth="1"/>
    <col min="6914" max="6914" width="17.85546875" style="3" customWidth="1"/>
    <col min="6915" max="6931" width="9.140625" style="3" customWidth="1"/>
    <col min="6932" max="7167" width="9" style="3"/>
    <col min="7168" max="7168" width="5" style="3" customWidth="1"/>
    <col min="7169" max="7169" width="17.5703125" style="3" customWidth="1"/>
    <col min="7170" max="7170" width="17.85546875" style="3" customWidth="1"/>
    <col min="7171" max="7187" width="9.140625" style="3" customWidth="1"/>
    <col min="7188" max="7423" width="9" style="3"/>
    <col min="7424" max="7424" width="5" style="3" customWidth="1"/>
    <col min="7425" max="7425" width="17.5703125" style="3" customWidth="1"/>
    <col min="7426" max="7426" width="17.85546875" style="3" customWidth="1"/>
    <col min="7427" max="7443" width="9.140625" style="3" customWidth="1"/>
    <col min="7444" max="7679" width="9" style="3"/>
    <col min="7680" max="7680" width="5" style="3" customWidth="1"/>
    <col min="7681" max="7681" width="17.5703125" style="3" customWidth="1"/>
    <col min="7682" max="7682" width="17.85546875" style="3" customWidth="1"/>
    <col min="7683" max="7699" width="9.140625" style="3" customWidth="1"/>
    <col min="7700" max="7935" width="9" style="3"/>
    <col min="7936" max="7936" width="5" style="3" customWidth="1"/>
    <col min="7937" max="7937" width="17.5703125" style="3" customWidth="1"/>
    <col min="7938" max="7938" width="17.85546875" style="3" customWidth="1"/>
    <col min="7939" max="7955" width="9.140625" style="3" customWidth="1"/>
    <col min="7956" max="8191" width="9" style="3"/>
    <col min="8192" max="8192" width="5" style="3" customWidth="1"/>
    <col min="8193" max="8193" width="17.5703125" style="3" customWidth="1"/>
    <col min="8194" max="8194" width="17.85546875" style="3" customWidth="1"/>
    <col min="8195" max="8211" width="9.140625" style="3" customWidth="1"/>
    <col min="8212" max="8447" width="9" style="3"/>
    <col min="8448" max="8448" width="5" style="3" customWidth="1"/>
    <col min="8449" max="8449" width="17.5703125" style="3" customWidth="1"/>
    <col min="8450" max="8450" width="17.85546875" style="3" customWidth="1"/>
    <col min="8451" max="8467" width="9.140625" style="3" customWidth="1"/>
    <col min="8468" max="8703" width="9" style="3"/>
    <col min="8704" max="8704" width="5" style="3" customWidth="1"/>
    <col min="8705" max="8705" width="17.5703125" style="3" customWidth="1"/>
    <col min="8706" max="8706" width="17.85546875" style="3" customWidth="1"/>
    <col min="8707" max="8723" width="9.140625" style="3" customWidth="1"/>
    <col min="8724" max="8959" width="9" style="3"/>
    <col min="8960" max="8960" width="5" style="3" customWidth="1"/>
    <col min="8961" max="8961" width="17.5703125" style="3" customWidth="1"/>
    <col min="8962" max="8962" width="17.85546875" style="3" customWidth="1"/>
    <col min="8963" max="8979" width="9.140625" style="3" customWidth="1"/>
    <col min="8980" max="9215" width="9" style="3"/>
    <col min="9216" max="9216" width="5" style="3" customWidth="1"/>
    <col min="9217" max="9217" width="17.5703125" style="3" customWidth="1"/>
    <col min="9218" max="9218" width="17.85546875" style="3" customWidth="1"/>
    <col min="9219" max="9235" width="9.140625" style="3" customWidth="1"/>
    <col min="9236" max="9471" width="9" style="3"/>
    <col min="9472" max="9472" width="5" style="3" customWidth="1"/>
    <col min="9473" max="9473" width="17.5703125" style="3" customWidth="1"/>
    <col min="9474" max="9474" width="17.85546875" style="3" customWidth="1"/>
    <col min="9475" max="9491" width="9.140625" style="3" customWidth="1"/>
    <col min="9492" max="9727" width="9" style="3"/>
    <col min="9728" max="9728" width="5" style="3" customWidth="1"/>
    <col min="9729" max="9729" width="17.5703125" style="3" customWidth="1"/>
    <col min="9730" max="9730" width="17.85546875" style="3" customWidth="1"/>
    <col min="9731" max="9747" width="9.140625" style="3" customWidth="1"/>
    <col min="9748" max="9983" width="9" style="3"/>
    <col min="9984" max="9984" width="5" style="3" customWidth="1"/>
    <col min="9985" max="9985" width="17.5703125" style="3" customWidth="1"/>
    <col min="9986" max="9986" width="17.85546875" style="3" customWidth="1"/>
    <col min="9987" max="10003" width="9.140625" style="3" customWidth="1"/>
    <col min="10004" max="10239" width="9" style="3"/>
    <col min="10240" max="10240" width="5" style="3" customWidth="1"/>
    <col min="10241" max="10241" width="17.5703125" style="3" customWidth="1"/>
    <col min="10242" max="10242" width="17.85546875" style="3" customWidth="1"/>
    <col min="10243" max="10259" width="9.140625" style="3" customWidth="1"/>
    <col min="10260" max="10495" width="9" style="3"/>
    <col min="10496" max="10496" width="5" style="3" customWidth="1"/>
    <col min="10497" max="10497" width="17.5703125" style="3" customWidth="1"/>
    <col min="10498" max="10498" width="17.85546875" style="3" customWidth="1"/>
    <col min="10499" max="10515" width="9.140625" style="3" customWidth="1"/>
    <col min="10516" max="10751" width="9" style="3"/>
    <col min="10752" max="10752" width="5" style="3" customWidth="1"/>
    <col min="10753" max="10753" width="17.5703125" style="3" customWidth="1"/>
    <col min="10754" max="10754" width="17.85546875" style="3" customWidth="1"/>
    <col min="10755" max="10771" width="9.140625" style="3" customWidth="1"/>
    <col min="10772" max="11007" width="9" style="3"/>
    <col min="11008" max="11008" width="5" style="3" customWidth="1"/>
    <col min="11009" max="11009" width="17.5703125" style="3" customWidth="1"/>
    <col min="11010" max="11010" width="17.85546875" style="3" customWidth="1"/>
    <col min="11011" max="11027" width="9.140625" style="3" customWidth="1"/>
    <col min="11028" max="11263" width="9" style="3"/>
    <col min="11264" max="11264" width="5" style="3" customWidth="1"/>
    <col min="11265" max="11265" width="17.5703125" style="3" customWidth="1"/>
    <col min="11266" max="11266" width="17.85546875" style="3" customWidth="1"/>
    <col min="11267" max="11283" width="9.140625" style="3" customWidth="1"/>
    <col min="11284" max="11519" width="9" style="3"/>
    <col min="11520" max="11520" width="5" style="3" customWidth="1"/>
    <col min="11521" max="11521" width="17.5703125" style="3" customWidth="1"/>
    <col min="11522" max="11522" width="17.85546875" style="3" customWidth="1"/>
    <col min="11523" max="11539" width="9.140625" style="3" customWidth="1"/>
    <col min="11540" max="11775" width="9" style="3"/>
    <col min="11776" max="11776" width="5" style="3" customWidth="1"/>
    <col min="11777" max="11777" width="17.5703125" style="3" customWidth="1"/>
    <col min="11778" max="11778" width="17.85546875" style="3" customWidth="1"/>
    <col min="11779" max="11795" width="9.140625" style="3" customWidth="1"/>
    <col min="11796" max="12031" width="9" style="3"/>
    <col min="12032" max="12032" width="5" style="3" customWidth="1"/>
    <col min="12033" max="12033" width="17.5703125" style="3" customWidth="1"/>
    <col min="12034" max="12034" width="17.85546875" style="3" customWidth="1"/>
    <col min="12035" max="12051" width="9.140625" style="3" customWidth="1"/>
    <col min="12052" max="12287" width="9" style="3"/>
    <col min="12288" max="12288" width="5" style="3" customWidth="1"/>
    <col min="12289" max="12289" width="17.5703125" style="3" customWidth="1"/>
    <col min="12290" max="12290" width="17.85546875" style="3" customWidth="1"/>
    <col min="12291" max="12307" width="9.140625" style="3" customWidth="1"/>
    <col min="12308" max="12543" width="9" style="3"/>
    <col min="12544" max="12544" width="5" style="3" customWidth="1"/>
    <col min="12545" max="12545" width="17.5703125" style="3" customWidth="1"/>
    <col min="12546" max="12546" width="17.85546875" style="3" customWidth="1"/>
    <col min="12547" max="12563" width="9.140625" style="3" customWidth="1"/>
    <col min="12564" max="12799" width="9" style="3"/>
    <col min="12800" max="12800" width="5" style="3" customWidth="1"/>
    <col min="12801" max="12801" width="17.5703125" style="3" customWidth="1"/>
    <col min="12802" max="12802" width="17.85546875" style="3" customWidth="1"/>
    <col min="12803" max="12819" width="9.140625" style="3" customWidth="1"/>
    <col min="12820" max="13055" width="9" style="3"/>
    <col min="13056" max="13056" width="5" style="3" customWidth="1"/>
    <col min="13057" max="13057" width="17.5703125" style="3" customWidth="1"/>
    <col min="13058" max="13058" width="17.85546875" style="3" customWidth="1"/>
    <col min="13059" max="13075" width="9.140625" style="3" customWidth="1"/>
    <col min="13076" max="13311" width="9" style="3"/>
    <col min="13312" max="13312" width="5" style="3" customWidth="1"/>
    <col min="13313" max="13313" width="17.5703125" style="3" customWidth="1"/>
    <col min="13314" max="13314" width="17.85546875" style="3" customWidth="1"/>
    <col min="13315" max="13331" width="9.140625" style="3" customWidth="1"/>
    <col min="13332" max="13567" width="9" style="3"/>
    <col min="13568" max="13568" width="5" style="3" customWidth="1"/>
    <col min="13569" max="13569" width="17.5703125" style="3" customWidth="1"/>
    <col min="13570" max="13570" width="17.85546875" style="3" customWidth="1"/>
    <col min="13571" max="13587" width="9.140625" style="3" customWidth="1"/>
    <col min="13588" max="13823" width="9" style="3"/>
    <col min="13824" max="13824" width="5" style="3" customWidth="1"/>
    <col min="13825" max="13825" width="17.5703125" style="3" customWidth="1"/>
    <col min="13826" max="13826" width="17.85546875" style="3" customWidth="1"/>
    <col min="13827" max="13843" width="9.140625" style="3" customWidth="1"/>
    <col min="13844" max="14079" width="9" style="3"/>
    <col min="14080" max="14080" width="5" style="3" customWidth="1"/>
    <col min="14081" max="14081" width="17.5703125" style="3" customWidth="1"/>
    <col min="14082" max="14082" width="17.85546875" style="3" customWidth="1"/>
    <col min="14083" max="14099" width="9.140625" style="3" customWidth="1"/>
    <col min="14100" max="14335" width="9" style="3"/>
    <col min="14336" max="14336" width="5" style="3" customWidth="1"/>
    <col min="14337" max="14337" width="17.5703125" style="3" customWidth="1"/>
    <col min="14338" max="14338" width="17.85546875" style="3" customWidth="1"/>
    <col min="14339" max="14355" width="9.140625" style="3" customWidth="1"/>
    <col min="14356" max="14591" width="9" style="3"/>
    <col min="14592" max="14592" width="5" style="3" customWidth="1"/>
    <col min="14593" max="14593" width="17.5703125" style="3" customWidth="1"/>
    <col min="14594" max="14594" width="17.85546875" style="3" customWidth="1"/>
    <col min="14595" max="14611" width="9.140625" style="3" customWidth="1"/>
    <col min="14612" max="14847" width="9" style="3"/>
    <col min="14848" max="14848" width="5" style="3" customWidth="1"/>
    <col min="14849" max="14849" width="17.5703125" style="3" customWidth="1"/>
    <col min="14850" max="14850" width="17.85546875" style="3" customWidth="1"/>
    <col min="14851" max="14867" width="9.140625" style="3" customWidth="1"/>
    <col min="14868" max="15103" width="9" style="3"/>
    <col min="15104" max="15104" width="5" style="3" customWidth="1"/>
    <col min="15105" max="15105" width="17.5703125" style="3" customWidth="1"/>
    <col min="15106" max="15106" width="17.85546875" style="3" customWidth="1"/>
    <col min="15107" max="15123" width="9.140625" style="3" customWidth="1"/>
    <col min="15124" max="15359" width="9" style="3"/>
    <col min="15360" max="15360" width="5" style="3" customWidth="1"/>
    <col min="15361" max="15361" width="17.5703125" style="3" customWidth="1"/>
    <col min="15362" max="15362" width="17.85546875" style="3" customWidth="1"/>
    <col min="15363" max="15379" width="9.140625" style="3" customWidth="1"/>
    <col min="15380" max="15615" width="9" style="3"/>
    <col min="15616" max="15616" width="5" style="3" customWidth="1"/>
    <col min="15617" max="15617" width="17.5703125" style="3" customWidth="1"/>
    <col min="15618" max="15618" width="17.85546875" style="3" customWidth="1"/>
    <col min="15619" max="15635" width="9.140625" style="3" customWidth="1"/>
    <col min="15636" max="15871" width="9" style="3"/>
    <col min="15872" max="15872" width="5" style="3" customWidth="1"/>
    <col min="15873" max="15873" width="17.5703125" style="3" customWidth="1"/>
    <col min="15874" max="15874" width="17.85546875" style="3" customWidth="1"/>
    <col min="15875" max="15891" width="9.140625" style="3" customWidth="1"/>
    <col min="15892" max="16127" width="9" style="3"/>
    <col min="16128" max="16128" width="5" style="3" customWidth="1"/>
    <col min="16129" max="16129" width="17.5703125" style="3" customWidth="1"/>
    <col min="16130" max="16130" width="17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75.5" customHeight="1" thickBot="1" x14ac:dyDescent="0.3">
      <c r="A2" s="4" t="s">
        <v>0</v>
      </c>
      <c r="B2" s="80" t="s">
        <v>1</v>
      </c>
      <c r="C2" s="4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78" t="s">
        <v>4</v>
      </c>
      <c r="B3" s="157" t="s">
        <v>100</v>
      </c>
      <c r="C3" s="160" t="s">
        <v>101</v>
      </c>
      <c r="D3" s="16">
        <f>100-(99.62-68.75)/68.75*50</f>
        <v>77.549090909090907</v>
      </c>
      <c r="E3" s="35">
        <f>100-(122.63-122.63)/122.63*50</f>
        <v>100</v>
      </c>
      <c r="F3" s="125"/>
      <c r="G3" s="176"/>
      <c r="H3" s="73"/>
      <c r="I3" s="73"/>
      <c r="J3" s="17"/>
      <c r="K3" s="17"/>
      <c r="L3" s="79"/>
      <c r="M3" s="17"/>
      <c r="N3" s="17"/>
      <c r="O3" s="17"/>
      <c r="P3" s="17"/>
      <c r="Q3" s="79"/>
      <c r="R3" s="17"/>
      <c r="S3" s="20">
        <f>SUM(D3:R3)</f>
        <v>177.54909090909092</v>
      </c>
    </row>
    <row r="4" spans="1:21" x14ac:dyDescent="0.25">
      <c r="A4" s="81" t="s">
        <v>6</v>
      </c>
      <c r="B4" s="158" t="s">
        <v>99</v>
      </c>
      <c r="C4" s="161" t="s">
        <v>101</v>
      </c>
      <c r="D4" s="35">
        <f>100-(97.75-68.75)/68.75*50</f>
        <v>78.909090909090907</v>
      </c>
      <c r="E4" s="18">
        <f>100-(177.38-122.63)/122.63*50</f>
        <v>77.676751202805178</v>
      </c>
      <c r="F4" s="33"/>
      <c r="G4" s="33"/>
      <c r="H4" s="18"/>
      <c r="I4" s="18"/>
      <c r="J4" s="18"/>
      <c r="K4" s="18"/>
      <c r="L4" s="36"/>
      <c r="M4" s="18"/>
      <c r="N4" s="18"/>
      <c r="O4" s="18"/>
      <c r="P4" s="18"/>
      <c r="Q4" s="36"/>
      <c r="R4" s="18"/>
      <c r="S4" s="26">
        <f>SUM(D4:R4)</f>
        <v>156.58584211189608</v>
      </c>
    </row>
    <row r="5" spans="1:21" x14ac:dyDescent="0.25">
      <c r="A5" s="81" t="s">
        <v>8</v>
      </c>
      <c r="B5" s="158" t="s">
        <v>67</v>
      </c>
      <c r="C5" s="161" t="s">
        <v>24</v>
      </c>
      <c r="D5" s="35">
        <f>100-(68.75-68.75)/68.75*50</f>
        <v>100</v>
      </c>
      <c r="E5" s="68" t="s">
        <v>12</v>
      </c>
      <c r="F5" s="37"/>
      <c r="G5" s="18"/>
      <c r="H5" s="18"/>
      <c r="I5" s="18"/>
      <c r="J5" s="21"/>
      <c r="K5" s="21"/>
      <c r="L5" s="18"/>
      <c r="M5" s="56"/>
      <c r="N5" s="21"/>
      <c r="O5" s="21"/>
      <c r="P5" s="21"/>
      <c r="Q5" s="21"/>
      <c r="R5" s="21"/>
      <c r="S5" s="26">
        <f>SUM(D5:R5)</f>
        <v>100</v>
      </c>
    </row>
    <row r="6" spans="1:21" x14ac:dyDescent="0.25">
      <c r="A6" s="81" t="s">
        <v>11</v>
      </c>
      <c r="B6" s="158" t="s">
        <v>57</v>
      </c>
      <c r="C6" s="161" t="s">
        <v>58</v>
      </c>
      <c r="D6" s="35"/>
      <c r="E6" s="35">
        <f>100-(139.73-122.63)/122.63*50</f>
        <v>93.027807224985736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5"/>
      <c r="S6" s="26">
        <f>SUM(D6:R6)-K6-L6-M6-N6-O6-Q6</f>
        <v>93.027807224985736</v>
      </c>
    </row>
    <row r="7" spans="1:21" x14ac:dyDescent="0.25">
      <c r="A7" s="81" t="s">
        <v>13</v>
      </c>
      <c r="B7" s="158" t="s">
        <v>98</v>
      </c>
      <c r="C7" s="161" t="s">
        <v>102</v>
      </c>
      <c r="D7" s="35">
        <f>100-(96.6-68.75)/68.75*50</f>
        <v>79.74545454545455</v>
      </c>
      <c r="E7" s="112" t="s">
        <v>12</v>
      </c>
      <c r="F7" s="36"/>
      <c r="G7" s="18"/>
      <c r="H7" s="36"/>
      <c r="I7" s="18"/>
      <c r="J7" s="18"/>
      <c r="K7" s="36"/>
      <c r="L7" s="36"/>
      <c r="M7" s="18"/>
      <c r="N7" s="18"/>
      <c r="O7" s="18"/>
      <c r="P7" s="18"/>
      <c r="Q7" s="18"/>
      <c r="R7" s="25"/>
      <c r="S7" s="26">
        <f>SUM(D7:R7)</f>
        <v>79.74545454545455</v>
      </c>
    </row>
    <row r="8" spans="1:21" x14ac:dyDescent="0.25">
      <c r="A8" s="81" t="s">
        <v>15</v>
      </c>
      <c r="B8" s="158" t="s">
        <v>121</v>
      </c>
      <c r="C8" s="161" t="s">
        <v>58</v>
      </c>
      <c r="D8" s="34"/>
      <c r="E8" s="35">
        <f>100-(188-122.63)/122.63*50</f>
        <v>73.346652532006843</v>
      </c>
      <c r="F8" s="18"/>
      <c r="G8" s="37"/>
      <c r="H8" s="21"/>
      <c r="I8" s="21"/>
      <c r="J8" s="21"/>
      <c r="K8" s="21"/>
      <c r="L8" s="36"/>
      <c r="M8" s="18"/>
      <c r="N8" s="18"/>
      <c r="O8" s="18"/>
      <c r="P8" s="18"/>
      <c r="Q8" s="21"/>
      <c r="R8" s="25"/>
      <c r="S8" s="26">
        <f>SUM(D8:R8)</f>
        <v>73.346652532006843</v>
      </c>
    </row>
    <row r="9" spans="1:21" x14ac:dyDescent="0.25">
      <c r="A9" s="81" t="s">
        <v>18</v>
      </c>
      <c r="B9" s="158" t="s">
        <v>74</v>
      </c>
      <c r="C9" s="161" t="s">
        <v>58</v>
      </c>
      <c r="D9" s="34"/>
      <c r="E9" s="35">
        <f>100-(204.88-122.63)/122.63*50</f>
        <v>66.464160482752987</v>
      </c>
      <c r="F9" s="18"/>
      <c r="G9" s="18"/>
      <c r="H9" s="21"/>
      <c r="I9" s="21"/>
      <c r="J9" s="21"/>
      <c r="K9" s="21"/>
      <c r="L9" s="21"/>
      <c r="M9" s="18"/>
      <c r="N9" s="18"/>
      <c r="O9" s="18"/>
      <c r="P9" s="18"/>
      <c r="Q9" s="36"/>
      <c r="R9" s="25"/>
      <c r="S9" s="26">
        <f>SUM(D9:R9)</f>
        <v>66.464160482752987</v>
      </c>
    </row>
    <row r="10" spans="1:21" ht="15.75" thickBot="1" x14ac:dyDescent="0.3">
      <c r="A10" s="82" t="s">
        <v>20</v>
      </c>
      <c r="B10" s="159" t="s">
        <v>122</v>
      </c>
      <c r="C10" s="162" t="s">
        <v>58</v>
      </c>
      <c r="D10" s="41"/>
      <c r="E10" s="170" t="s">
        <v>12</v>
      </c>
      <c r="F10" s="43"/>
      <c r="G10" s="43"/>
      <c r="H10" s="42"/>
      <c r="I10" s="42"/>
      <c r="J10" s="42"/>
      <c r="K10" s="42"/>
      <c r="L10" s="123"/>
      <c r="M10" s="42"/>
      <c r="N10" s="42"/>
      <c r="O10" s="42"/>
      <c r="P10" s="42"/>
      <c r="Q10" s="44"/>
      <c r="R10" s="42"/>
      <c r="S10" s="46">
        <f>SUM(D10:R10)</f>
        <v>0</v>
      </c>
    </row>
    <row r="11" spans="1:21" x14ac:dyDescent="0.25">
      <c r="A11" s="2"/>
      <c r="B11" s="2"/>
      <c r="C11" s="2"/>
      <c r="D11" s="2"/>
      <c r="E11" s="2"/>
      <c r="F11" s="51"/>
      <c r="G11" s="51"/>
      <c r="H11" s="2"/>
      <c r="I11" s="2"/>
      <c r="J11" s="2"/>
      <c r="K11" s="2"/>
      <c r="L11" s="2"/>
      <c r="M11" s="2"/>
      <c r="N11" s="2"/>
      <c r="O11" s="2"/>
      <c r="P11" s="2"/>
      <c r="Q11" s="2"/>
      <c r="R11" s="47"/>
      <c r="S11" s="2"/>
    </row>
    <row r="12" spans="1:21" s="52" customFormat="1" x14ac:dyDescent="0.25">
      <c r="A12" s="52" t="s">
        <v>34</v>
      </c>
    </row>
    <row r="13" spans="1:21" s="53" customFormat="1" x14ac:dyDescent="0.25">
      <c r="A13" s="53" t="s">
        <v>35</v>
      </c>
    </row>
  </sheetData>
  <sortState ref="B3:S10">
    <sortCondition descending="1" ref="S3"/>
  </sortState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workbookViewId="0">
      <selection activeCell="K21" sqref="K21"/>
    </sheetView>
  </sheetViews>
  <sheetFormatPr defaultColWidth="9" defaultRowHeight="15" x14ac:dyDescent="0.25"/>
  <cols>
    <col min="1" max="1" width="5.140625" style="3" customWidth="1"/>
    <col min="2" max="2" width="19" style="3" customWidth="1"/>
    <col min="3" max="3" width="17.5703125" style="3" customWidth="1"/>
    <col min="4" max="5" width="9.140625" style="3" customWidth="1"/>
    <col min="6" max="6" width="9.140625" style="54" customWidth="1"/>
    <col min="7" max="19" width="9.140625" style="3" customWidth="1"/>
    <col min="20" max="30" width="9" style="2"/>
    <col min="31" max="255" width="9" style="3"/>
    <col min="256" max="256" width="5.140625" style="3" customWidth="1"/>
    <col min="257" max="257" width="19" style="3" customWidth="1"/>
    <col min="258" max="258" width="15.42578125" style="3" customWidth="1"/>
    <col min="259" max="275" width="9.140625" style="3" customWidth="1"/>
    <col min="276" max="511" width="9" style="3"/>
    <col min="512" max="512" width="5.140625" style="3" customWidth="1"/>
    <col min="513" max="513" width="19" style="3" customWidth="1"/>
    <col min="514" max="514" width="15.42578125" style="3" customWidth="1"/>
    <col min="515" max="531" width="9.140625" style="3" customWidth="1"/>
    <col min="532" max="767" width="9" style="3"/>
    <col min="768" max="768" width="5.140625" style="3" customWidth="1"/>
    <col min="769" max="769" width="19" style="3" customWidth="1"/>
    <col min="770" max="770" width="15.42578125" style="3" customWidth="1"/>
    <col min="771" max="787" width="9.140625" style="3" customWidth="1"/>
    <col min="788" max="1023" width="9" style="3"/>
    <col min="1024" max="1024" width="5.140625" style="3" customWidth="1"/>
    <col min="1025" max="1025" width="19" style="3" customWidth="1"/>
    <col min="1026" max="1026" width="15.42578125" style="3" customWidth="1"/>
    <col min="1027" max="1043" width="9.140625" style="3" customWidth="1"/>
    <col min="1044" max="1279" width="9" style="3"/>
    <col min="1280" max="1280" width="5.140625" style="3" customWidth="1"/>
    <col min="1281" max="1281" width="19" style="3" customWidth="1"/>
    <col min="1282" max="1282" width="15.42578125" style="3" customWidth="1"/>
    <col min="1283" max="1299" width="9.140625" style="3" customWidth="1"/>
    <col min="1300" max="1535" width="9" style="3"/>
    <col min="1536" max="1536" width="5.140625" style="3" customWidth="1"/>
    <col min="1537" max="1537" width="19" style="3" customWidth="1"/>
    <col min="1538" max="1538" width="15.42578125" style="3" customWidth="1"/>
    <col min="1539" max="1555" width="9.140625" style="3" customWidth="1"/>
    <col min="1556" max="1791" width="9" style="3"/>
    <col min="1792" max="1792" width="5.140625" style="3" customWidth="1"/>
    <col min="1793" max="1793" width="19" style="3" customWidth="1"/>
    <col min="1794" max="1794" width="15.42578125" style="3" customWidth="1"/>
    <col min="1795" max="1811" width="9.140625" style="3" customWidth="1"/>
    <col min="1812" max="2047" width="9" style="3"/>
    <col min="2048" max="2048" width="5.140625" style="3" customWidth="1"/>
    <col min="2049" max="2049" width="19" style="3" customWidth="1"/>
    <col min="2050" max="2050" width="15.42578125" style="3" customWidth="1"/>
    <col min="2051" max="2067" width="9.140625" style="3" customWidth="1"/>
    <col min="2068" max="2303" width="9" style="3"/>
    <col min="2304" max="2304" width="5.140625" style="3" customWidth="1"/>
    <col min="2305" max="2305" width="19" style="3" customWidth="1"/>
    <col min="2306" max="2306" width="15.42578125" style="3" customWidth="1"/>
    <col min="2307" max="2323" width="9.140625" style="3" customWidth="1"/>
    <col min="2324" max="2559" width="9" style="3"/>
    <col min="2560" max="2560" width="5.140625" style="3" customWidth="1"/>
    <col min="2561" max="2561" width="19" style="3" customWidth="1"/>
    <col min="2562" max="2562" width="15.42578125" style="3" customWidth="1"/>
    <col min="2563" max="2579" width="9.140625" style="3" customWidth="1"/>
    <col min="2580" max="2815" width="9" style="3"/>
    <col min="2816" max="2816" width="5.140625" style="3" customWidth="1"/>
    <col min="2817" max="2817" width="19" style="3" customWidth="1"/>
    <col min="2818" max="2818" width="15.42578125" style="3" customWidth="1"/>
    <col min="2819" max="2835" width="9.140625" style="3" customWidth="1"/>
    <col min="2836" max="3071" width="9" style="3"/>
    <col min="3072" max="3072" width="5.140625" style="3" customWidth="1"/>
    <col min="3073" max="3073" width="19" style="3" customWidth="1"/>
    <col min="3074" max="3074" width="15.42578125" style="3" customWidth="1"/>
    <col min="3075" max="3091" width="9.140625" style="3" customWidth="1"/>
    <col min="3092" max="3327" width="9" style="3"/>
    <col min="3328" max="3328" width="5.140625" style="3" customWidth="1"/>
    <col min="3329" max="3329" width="19" style="3" customWidth="1"/>
    <col min="3330" max="3330" width="15.42578125" style="3" customWidth="1"/>
    <col min="3331" max="3347" width="9.140625" style="3" customWidth="1"/>
    <col min="3348" max="3583" width="9" style="3"/>
    <col min="3584" max="3584" width="5.140625" style="3" customWidth="1"/>
    <col min="3585" max="3585" width="19" style="3" customWidth="1"/>
    <col min="3586" max="3586" width="15.42578125" style="3" customWidth="1"/>
    <col min="3587" max="3603" width="9.140625" style="3" customWidth="1"/>
    <col min="3604" max="3839" width="9" style="3"/>
    <col min="3840" max="3840" width="5.140625" style="3" customWidth="1"/>
    <col min="3841" max="3841" width="19" style="3" customWidth="1"/>
    <col min="3842" max="3842" width="15.42578125" style="3" customWidth="1"/>
    <col min="3843" max="3859" width="9.140625" style="3" customWidth="1"/>
    <col min="3860" max="4095" width="9" style="3"/>
    <col min="4096" max="4096" width="5.140625" style="3" customWidth="1"/>
    <col min="4097" max="4097" width="19" style="3" customWidth="1"/>
    <col min="4098" max="4098" width="15.42578125" style="3" customWidth="1"/>
    <col min="4099" max="4115" width="9.140625" style="3" customWidth="1"/>
    <col min="4116" max="4351" width="9" style="3"/>
    <col min="4352" max="4352" width="5.140625" style="3" customWidth="1"/>
    <col min="4353" max="4353" width="19" style="3" customWidth="1"/>
    <col min="4354" max="4354" width="15.42578125" style="3" customWidth="1"/>
    <col min="4355" max="4371" width="9.140625" style="3" customWidth="1"/>
    <col min="4372" max="4607" width="9" style="3"/>
    <col min="4608" max="4608" width="5.140625" style="3" customWidth="1"/>
    <col min="4609" max="4609" width="19" style="3" customWidth="1"/>
    <col min="4610" max="4610" width="15.42578125" style="3" customWidth="1"/>
    <col min="4611" max="4627" width="9.140625" style="3" customWidth="1"/>
    <col min="4628" max="4863" width="9" style="3"/>
    <col min="4864" max="4864" width="5.140625" style="3" customWidth="1"/>
    <col min="4865" max="4865" width="19" style="3" customWidth="1"/>
    <col min="4866" max="4866" width="15.42578125" style="3" customWidth="1"/>
    <col min="4867" max="4883" width="9.140625" style="3" customWidth="1"/>
    <col min="4884" max="5119" width="9" style="3"/>
    <col min="5120" max="5120" width="5.140625" style="3" customWidth="1"/>
    <col min="5121" max="5121" width="19" style="3" customWidth="1"/>
    <col min="5122" max="5122" width="15.42578125" style="3" customWidth="1"/>
    <col min="5123" max="5139" width="9.140625" style="3" customWidth="1"/>
    <col min="5140" max="5375" width="9" style="3"/>
    <col min="5376" max="5376" width="5.140625" style="3" customWidth="1"/>
    <col min="5377" max="5377" width="19" style="3" customWidth="1"/>
    <col min="5378" max="5378" width="15.42578125" style="3" customWidth="1"/>
    <col min="5379" max="5395" width="9.140625" style="3" customWidth="1"/>
    <col min="5396" max="5631" width="9" style="3"/>
    <col min="5632" max="5632" width="5.140625" style="3" customWidth="1"/>
    <col min="5633" max="5633" width="19" style="3" customWidth="1"/>
    <col min="5634" max="5634" width="15.42578125" style="3" customWidth="1"/>
    <col min="5635" max="5651" width="9.140625" style="3" customWidth="1"/>
    <col min="5652" max="5887" width="9" style="3"/>
    <col min="5888" max="5888" width="5.140625" style="3" customWidth="1"/>
    <col min="5889" max="5889" width="19" style="3" customWidth="1"/>
    <col min="5890" max="5890" width="15.42578125" style="3" customWidth="1"/>
    <col min="5891" max="5907" width="9.140625" style="3" customWidth="1"/>
    <col min="5908" max="6143" width="9" style="3"/>
    <col min="6144" max="6144" width="5.140625" style="3" customWidth="1"/>
    <col min="6145" max="6145" width="19" style="3" customWidth="1"/>
    <col min="6146" max="6146" width="15.42578125" style="3" customWidth="1"/>
    <col min="6147" max="6163" width="9.140625" style="3" customWidth="1"/>
    <col min="6164" max="6399" width="9" style="3"/>
    <col min="6400" max="6400" width="5.140625" style="3" customWidth="1"/>
    <col min="6401" max="6401" width="19" style="3" customWidth="1"/>
    <col min="6402" max="6402" width="15.42578125" style="3" customWidth="1"/>
    <col min="6403" max="6419" width="9.140625" style="3" customWidth="1"/>
    <col min="6420" max="6655" width="9" style="3"/>
    <col min="6656" max="6656" width="5.140625" style="3" customWidth="1"/>
    <col min="6657" max="6657" width="19" style="3" customWidth="1"/>
    <col min="6658" max="6658" width="15.42578125" style="3" customWidth="1"/>
    <col min="6659" max="6675" width="9.140625" style="3" customWidth="1"/>
    <col min="6676" max="6911" width="9" style="3"/>
    <col min="6912" max="6912" width="5.140625" style="3" customWidth="1"/>
    <col min="6913" max="6913" width="19" style="3" customWidth="1"/>
    <col min="6914" max="6914" width="15.42578125" style="3" customWidth="1"/>
    <col min="6915" max="6931" width="9.140625" style="3" customWidth="1"/>
    <col min="6932" max="7167" width="9" style="3"/>
    <col min="7168" max="7168" width="5.140625" style="3" customWidth="1"/>
    <col min="7169" max="7169" width="19" style="3" customWidth="1"/>
    <col min="7170" max="7170" width="15.42578125" style="3" customWidth="1"/>
    <col min="7171" max="7187" width="9.140625" style="3" customWidth="1"/>
    <col min="7188" max="7423" width="9" style="3"/>
    <col min="7424" max="7424" width="5.140625" style="3" customWidth="1"/>
    <col min="7425" max="7425" width="19" style="3" customWidth="1"/>
    <col min="7426" max="7426" width="15.42578125" style="3" customWidth="1"/>
    <col min="7427" max="7443" width="9.140625" style="3" customWidth="1"/>
    <col min="7444" max="7679" width="9" style="3"/>
    <col min="7680" max="7680" width="5.140625" style="3" customWidth="1"/>
    <col min="7681" max="7681" width="19" style="3" customWidth="1"/>
    <col min="7682" max="7682" width="15.42578125" style="3" customWidth="1"/>
    <col min="7683" max="7699" width="9.140625" style="3" customWidth="1"/>
    <col min="7700" max="7935" width="9" style="3"/>
    <col min="7936" max="7936" width="5.140625" style="3" customWidth="1"/>
    <col min="7937" max="7937" width="19" style="3" customWidth="1"/>
    <col min="7938" max="7938" width="15.42578125" style="3" customWidth="1"/>
    <col min="7939" max="7955" width="9.140625" style="3" customWidth="1"/>
    <col min="7956" max="8191" width="9" style="3"/>
    <col min="8192" max="8192" width="5.140625" style="3" customWidth="1"/>
    <col min="8193" max="8193" width="19" style="3" customWidth="1"/>
    <col min="8194" max="8194" width="15.42578125" style="3" customWidth="1"/>
    <col min="8195" max="8211" width="9.140625" style="3" customWidth="1"/>
    <col min="8212" max="8447" width="9" style="3"/>
    <col min="8448" max="8448" width="5.140625" style="3" customWidth="1"/>
    <col min="8449" max="8449" width="19" style="3" customWidth="1"/>
    <col min="8450" max="8450" width="15.42578125" style="3" customWidth="1"/>
    <col min="8451" max="8467" width="9.140625" style="3" customWidth="1"/>
    <col min="8468" max="8703" width="9" style="3"/>
    <col min="8704" max="8704" width="5.140625" style="3" customWidth="1"/>
    <col min="8705" max="8705" width="19" style="3" customWidth="1"/>
    <col min="8706" max="8706" width="15.42578125" style="3" customWidth="1"/>
    <col min="8707" max="8723" width="9.140625" style="3" customWidth="1"/>
    <col min="8724" max="8959" width="9" style="3"/>
    <col min="8960" max="8960" width="5.140625" style="3" customWidth="1"/>
    <col min="8961" max="8961" width="19" style="3" customWidth="1"/>
    <col min="8962" max="8962" width="15.42578125" style="3" customWidth="1"/>
    <col min="8963" max="8979" width="9.140625" style="3" customWidth="1"/>
    <col min="8980" max="9215" width="9" style="3"/>
    <col min="9216" max="9216" width="5.140625" style="3" customWidth="1"/>
    <col min="9217" max="9217" width="19" style="3" customWidth="1"/>
    <col min="9218" max="9218" width="15.42578125" style="3" customWidth="1"/>
    <col min="9219" max="9235" width="9.140625" style="3" customWidth="1"/>
    <col min="9236" max="9471" width="9" style="3"/>
    <col min="9472" max="9472" width="5.140625" style="3" customWidth="1"/>
    <col min="9473" max="9473" width="19" style="3" customWidth="1"/>
    <col min="9474" max="9474" width="15.42578125" style="3" customWidth="1"/>
    <col min="9475" max="9491" width="9.140625" style="3" customWidth="1"/>
    <col min="9492" max="9727" width="9" style="3"/>
    <col min="9728" max="9728" width="5.140625" style="3" customWidth="1"/>
    <col min="9729" max="9729" width="19" style="3" customWidth="1"/>
    <col min="9730" max="9730" width="15.42578125" style="3" customWidth="1"/>
    <col min="9731" max="9747" width="9.140625" style="3" customWidth="1"/>
    <col min="9748" max="9983" width="9" style="3"/>
    <col min="9984" max="9984" width="5.140625" style="3" customWidth="1"/>
    <col min="9985" max="9985" width="19" style="3" customWidth="1"/>
    <col min="9986" max="9986" width="15.4257812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19" style="3" customWidth="1"/>
    <col min="10242" max="10242" width="15.4257812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19" style="3" customWidth="1"/>
    <col min="10498" max="10498" width="15.4257812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19" style="3" customWidth="1"/>
    <col min="10754" max="10754" width="15.4257812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19" style="3" customWidth="1"/>
    <col min="11010" max="11010" width="15.4257812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19" style="3" customWidth="1"/>
    <col min="11266" max="11266" width="15.4257812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19" style="3" customWidth="1"/>
    <col min="11522" max="11522" width="15.4257812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19" style="3" customWidth="1"/>
    <col min="11778" max="11778" width="15.4257812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19" style="3" customWidth="1"/>
    <col min="12034" max="12034" width="15.4257812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19" style="3" customWidth="1"/>
    <col min="12290" max="12290" width="15.4257812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19" style="3" customWidth="1"/>
    <col min="12546" max="12546" width="15.4257812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19" style="3" customWidth="1"/>
    <col min="12802" max="12802" width="15.4257812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19" style="3" customWidth="1"/>
    <col min="13058" max="13058" width="15.4257812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19" style="3" customWidth="1"/>
    <col min="13314" max="13314" width="15.4257812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19" style="3" customWidth="1"/>
    <col min="13570" max="13570" width="15.4257812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19" style="3" customWidth="1"/>
    <col min="13826" max="13826" width="15.4257812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19" style="3" customWidth="1"/>
    <col min="14082" max="14082" width="15.4257812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19" style="3" customWidth="1"/>
    <col min="14338" max="14338" width="15.4257812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19" style="3" customWidth="1"/>
    <col min="14594" max="14594" width="15.4257812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19" style="3" customWidth="1"/>
    <col min="14850" max="14850" width="15.4257812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19" style="3" customWidth="1"/>
    <col min="15106" max="15106" width="15.4257812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19" style="3" customWidth="1"/>
    <col min="15362" max="15362" width="15.4257812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19" style="3" customWidth="1"/>
    <col min="15618" max="15618" width="15.4257812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19" style="3" customWidth="1"/>
    <col min="15874" max="15874" width="15.4257812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19" style="3" customWidth="1"/>
    <col min="16130" max="16130" width="15.4257812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63.5" customHeight="1" thickBot="1" x14ac:dyDescent="0.3">
      <c r="A2" s="4" t="s">
        <v>0</v>
      </c>
      <c r="B2" s="5" t="s">
        <v>1</v>
      </c>
      <c r="C2" s="6" t="s">
        <v>2</v>
      </c>
      <c r="D2" s="7" t="s">
        <v>117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ht="15.75" thickBot="1" x14ac:dyDescent="0.3">
      <c r="A3" s="104" t="s">
        <v>4</v>
      </c>
      <c r="B3" s="105" t="s">
        <v>40</v>
      </c>
      <c r="C3" s="106" t="s">
        <v>17</v>
      </c>
      <c r="D3" s="107">
        <f>100-(51.8-51.8)/51.8*50</f>
        <v>100</v>
      </c>
      <c r="E3" s="107"/>
      <c r="F3" s="107"/>
      <c r="G3" s="107"/>
      <c r="H3" s="107"/>
      <c r="I3" s="107"/>
      <c r="J3" s="107"/>
      <c r="K3" s="107"/>
      <c r="L3" s="108"/>
      <c r="M3" s="109"/>
      <c r="N3" s="108"/>
      <c r="O3" s="108"/>
      <c r="P3" s="108"/>
      <c r="Q3" s="108"/>
      <c r="R3" s="108"/>
      <c r="S3" s="110">
        <f>SUM(D3:R3)</f>
        <v>100</v>
      </c>
    </row>
    <row r="4" spans="1:21" x14ac:dyDescent="0.25">
      <c r="A4" s="2"/>
      <c r="B4" s="2"/>
      <c r="C4" s="2"/>
      <c r="D4" s="47"/>
      <c r="E4" s="47"/>
      <c r="F4" s="48"/>
      <c r="G4" s="47"/>
      <c r="H4" s="47"/>
      <c r="I4" s="47"/>
      <c r="J4" s="47"/>
      <c r="K4" s="47"/>
      <c r="L4" s="47"/>
      <c r="M4" s="48"/>
      <c r="N4" s="47"/>
      <c r="O4" s="48"/>
      <c r="P4" s="48"/>
      <c r="Q4" s="48"/>
      <c r="R4" s="48"/>
      <c r="S4" s="50"/>
    </row>
    <row r="5" spans="1:21" x14ac:dyDescent="0.25">
      <c r="A5" s="2"/>
      <c r="B5" s="2"/>
      <c r="C5" s="2"/>
      <c r="D5" s="47"/>
      <c r="E5" s="47"/>
      <c r="F5" s="48"/>
      <c r="G5" s="47"/>
      <c r="H5" s="47"/>
      <c r="I5" s="47"/>
      <c r="J5" s="47"/>
      <c r="K5" s="47"/>
      <c r="L5" s="47"/>
      <c r="M5" s="48"/>
      <c r="N5" s="47"/>
      <c r="O5" s="48"/>
      <c r="P5" s="48"/>
      <c r="Q5" s="48"/>
      <c r="R5" s="48"/>
      <c r="S5" s="50"/>
    </row>
    <row r="6" spans="1:21" x14ac:dyDescent="0.25">
      <c r="A6" s="2"/>
      <c r="B6" s="2"/>
      <c r="C6" s="2"/>
      <c r="D6" s="51"/>
      <c r="E6" s="2"/>
      <c r="F6" s="51"/>
      <c r="G6" s="2"/>
      <c r="H6" s="2"/>
      <c r="I6" s="2"/>
      <c r="J6" s="51"/>
      <c r="K6" s="51"/>
      <c r="L6" s="2"/>
      <c r="M6" s="83"/>
      <c r="N6" s="2"/>
      <c r="O6" s="2"/>
      <c r="P6" s="2"/>
      <c r="Q6" s="2"/>
      <c r="R6" s="2"/>
      <c r="S6" s="2"/>
    </row>
    <row r="7" spans="1:21" s="52" customFormat="1" x14ac:dyDescent="0.25">
      <c r="A7" s="52" t="s">
        <v>34</v>
      </c>
    </row>
    <row r="8" spans="1:21" s="53" customFormat="1" x14ac:dyDescent="0.25">
      <c r="A8" s="53" t="s">
        <v>35</v>
      </c>
    </row>
    <row r="9" spans="1:21" x14ac:dyDescent="0.25">
      <c r="A9" s="2"/>
      <c r="B9" s="2"/>
      <c r="C9" s="2"/>
      <c r="D9" s="2"/>
      <c r="E9" s="2"/>
      <c r="F9" s="5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1" x14ac:dyDescent="0.25">
      <c r="A10" s="2"/>
      <c r="B10" s="2"/>
      <c r="C10" s="2"/>
      <c r="D10" s="2"/>
      <c r="E10" s="2"/>
      <c r="F10" s="5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1" x14ac:dyDescent="0.25">
      <c r="A11" s="2"/>
      <c r="B11" s="2"/>
      <c r="C11" s="2"/>
      <c r="D11" s="2"/>
      <c r="E11" s="2"/>
      <c r="F11" s="5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1" x14ac:dyDescent="0.25">
      <c r="A12" s="2"/>
      <c r="B12" s="2"/>
      <c r="C12" s="2"/>
      <c r="D12" s="2"/>
      <c r="E12" s="2"/>
      <c r="F12" s="5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1" x14ac:dyDescent="0.25">
      <c r="A13" s="2"/>
      <c r="B13" s="2"/>
      <c r="C13" s="2"/>
      <c r="D13" s="2"/>
      <c r="E13" s="2"/>
      <c r="F13" s="5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1" x14ac:dyDescent="0.25">
      <c r="A14" s="2"/>
      <c r="B14" s="2"/>
      <c r="C14" s="2"/>
      <c r="D14" s="2"/>
      <c r="E14" s="2"/>
      <c r="F14" s="5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1" s="2" customFormat="1" x14ac:dyDescent="0.25">
      <c r="F15" s="51"/>
    </row>
    <row r="16" spans="1:21" s="2" customFormat="1" x14ac:dyDescent="0.25">
      <c r="F16" s="51"/>
    </row>
    <row r="17" spans="6:6" s="2" customFormat="1" x14ac:dyDescent="0.25">
      <c r="F17" s="51"/>
    </row>
    <row r="18" spans="6:6" s="2" customFormat="1" x14ac:dyDescent="0.25">
      <c r="F18" s="51"/>
    </row>
    <row r="19" spans="6:6" s="2" customFormat="1" x14ac:dyDescent="0.25">
      <c r="F19" s="51"/>
    </row>
    <row r="20" spans="6:6" s="2" customFormat="1" x14ac:dyDescent="0.25">
      <c r="F20" s="51"/>
    </row>
    <row r="21" spans="6:6" s="2" customFormat="1" x14ac:dyDescent="0.25">
      <c r="F21" s="51"/>
    </row>
    <row r="22" spans="6:6" s="2" customFormat="1" x14ac:dyDescent="0.25">
      <c r="F22" s="51"/>
    </row>
    <row r="23" spans="6:6" s="2" customFormat="1" x14ac:dyDescent="0.25">
      <c r="F23" s="51"/>
    </row>
    <row r="24" spans="6:6" s="2" customFormat="1" x14ac:dyDescent="0.25">
      <c r="F24" s="51"/>
    </row>
    <row r="25" spans="6:6" s="2" customFormat="1" x14ac:dyDescent="0.25">
      <c r="F25" s="51"/>
    </row>
    <row r="26" spans="6:6" s="2" customFormat="1" x14ac:dyDescent="0.25">
      <c r="F26" s="51"/>
    </row>
    <row r="27" spans="6:6" s="2" customFormat="1" x14ac:dyDescent="0.25">
      <c r="F27" s="51"/>
    </row>
    <row r="28" spans="6:6" s="2" customFormat="1" x14ac:dyDescent="0.25">
      <c r="F28" s="51"/>
    </row>
    <row r="29" spans="6:6" s="2" customFormat="1" x14ac:dyDescent="0.25">
      <c r="F29" s="51"/>
    </row>
    <row r="30" spans="6:6" s="2" customFormat="1" x14ac:dyDescent="0.25">
      <c r="F30" s="51"/>
    </row>
    <row r="31" spans="6:6" s="2" customFormat="1" x14ac:dyDescent="0.25">
      <c r="F31" s="51"/>
    </row>
    <row r="32" spans="6:6" s="2" customFormat="1" x14ac:dyDescent="0.25">
      <c r="F32" s="51"/>
    </row>
  </sheetData>
  <mergeCells count="1">
    <mergeCell ref="A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selection activeCell="G7" sqref="G7"/>
    </sheetView>
  </sheetViews>
  <sheetFormatPr defaultColWidth="9" defaultRowHeight="15" x14ac:dyDescent="0.25"/>
  <cols>
    <col min="1" max="1" width="5.140625" style="3" customWidth="1"/>
    <col min="2" max="2" width="21.5703125" style="3" customWidth="1"/>
    <col min="3" max="3" width="19.140625" style="3" customWidth="1"/>
    <col min="4" max="5" width="9.140625" style="3" customWidth="1"/>
    <col min="6" max="6" width="9.140625" style="54" customWidth="1"/>
    <col min="7" max="19" width="9.140625" style="3" customWidth="1"/>
    <col min="20" max="30" width="9" style="2"/>
    <col min="31" max="255" width="9" style="3"/>
    <col min="256" max="256" width="5.140625" style="3" customWidth="1"/>
    <col min="257" max="257" width="21.5703125" style="3" customWidth="1"/>
    <col min="258" max="258" width="19.140625" style="3" customWidth="1"/>
    <col min="259" max="275" width="9.140625" style="3" customWidth="1"/>
    <col min="276" max="511" width="9" style="3"/>
    <col min="512" max="512" width="5.140625" style="3" customWidth="1"/>
    <col min="513" max="513" width="21.5703125" style="3" customWidth="1"/>
    <col min="514" max="514" width="19.140625" style="3" customWidth="1"/>
    <col min="515" max="531" width="9.140625" style="3" customWidth="1"/>
    <col min="532" max="767" width="9" style="3"/>
    <col min="768" max="768" width="5.140625" style="3" customWidth="1"/>
    <col min="769" max="769" width="21.5703125" style="3" customWidth="1"/>
    <col min="770" max="770" width="19.140625" style="3" customWidth="1"/>
    <col min="771" max="787" width="9.140625" style="3" customWidth="1"/>
    <col min="788" max="1023" width="9" style="3"/>
    <col min="1024" max="1024" width="5.140625" style="3" customWidth="1"/>
    <col min="1025" max="1025" width="21.5703125" style="3" customWidth="1"/>
    <col min="1026" max="1026" width="19.140625" style="3" customWidth="1"/>
    <col min="1027" max="1043" width="9.140625" style="3" customWidth="1"/>
    <col min="1044" max="1279" width="9" style="3"/>
    <col min="1280" max="1280" width="5.140625" style="3" customWidth="1"/>
    <col min="1281" max="1281" width="21.5703125" style="3" customWidth="1"/>
    <col min="1282" max="1282" width="19.140625" style="3" customWidth="1"/>
    <col min="1283" max="1299" width="9.140625" style="3" customWidth="1"/>
    <col min="1300" max="1535" width="9" style="3"/>
    <col min="1536" max="1536" width="5.140625" style="3" customWidth="1"/>
    <col min="1537" max="1537" width="21.5703125" style="3" customWidth="1"/>
    <col min="1538" max="1538" width="19.140625" style="3" customWidth="1"/>
    <col min="1539" max="1555" width="9.140625" style="3" customWidth="1"/>
    <col min="1556" max="1791" width="9" style="3"/>
    <col min="1792" max="1792" width="5.140625" style="3" customWidth="1"/>
    <col min="1793" max="1793" width="21.5703125" style="3" customWidth="1"/>
    <col min="1794" max="1794" width="19.140625" style="3" customWidth="1"/>
    <col min="1795" max="1811" width="9.140625" style="3" customWidth="1"/>
    <col min="1812" max="2047" width="9" style="3"/>
    <col min="2048" max="2048" width="5.140625" style="3" customWidth="1"/>
    <col min="2049" max="2049" width="21.5703125" style="3" customWidth="1"/>
    <col min="2050" max="2050" width="19.140625" style="3" customWidth="1"/>
    <col min="2051" max="2067" width="9.140625" style="3" customWidth="1"/>
    <col min="2068" max="2303" width="9" style="3"/>
    <col min="2304" max="2304" width="5.140625" style="3" customWidth="1"/>
    <col min="2305" max="2305" width="21.5703125" style="3" customWidth="1"/>
    <col min="2306" max="2306" width="19.140625" style="3" customWidth="1"/>
    <col min="2307" max="2323" width="9.140625" style="3" customWidth="1"/>
    <col min="2324" max="2559" width="9" style="3"/>
    <col min="2560" max="2560" width="5.140625" style="3" customWidth="1"/>
    <col min="2561" max="2561" width="21.5703125" style="3" customWidth="1"/>
    <col min="2562" max="2562" width="19.140625" style="3" customWidth="1"/>
    <col min="2563" max="2579" width="9.140625" style="3" customWidth="1"/>
    <col min="2580" max="2815" width="9" style="3"/>
    <col min="2816" max="2816" width="5.140625" style="3" customWidth="1"/>
    <col min="2817" max="2817" width="21.5703125" style="3" customWidth="1"/>
    <col min="2818" max="2818" width="19.140625" style="3" customWidth="1"/>
    <col min="2819" max="2835" width="9.140625" style="3" customWidth="1"/>
    <col min="2836" max="3071" width="9" style="3"/>
    <col min="3072" max="3072" width="5.140625" style="3" customWidth="1"/>
    <col min="3073" max="3073" width="21.5703125" style="3" customWidth="1"/>
    <col min="3074" max="3074" width="19.140625" style="3" customWidth="1"/>
    <col min="3075" max="3091" width="9.140625" style="3" customWidth="1"/>
    <col min="3092" max="3327" width="9" style="3"/>
    <col min="3328" max="3328" width="5.140625" style="3" customWidth="1"/>
    <col min="3329" max="3329" width="21.5703125" style="3" customWidth="1"/>
    <col min="3330" max="3330" width="19.140625" style="3" customWidth="1"/>
    <col min="3331" max="3347" width="9.140625" style="3" customWidth="1"/>
    <col min="3348" max="3583" width="9" style="3"/>
    <col min="3584" max="3584" width="5.140625" style="3" customWidth="1"/>
    <col min="3585" max="3585" width="21.5703125" style="3" customWidth="1"/>
    <col min="3586" max="3586" width="19.140625" style="3" customWidth="1"/>
    <col min="3587" max="3603" width="9.140625" style="3" customWidth="1"/>
    <col min="3604" max="3839" width="9" style="3"/>
    <col min="3840" max="3840" width="5.140625" style="3" customWidth="1"/>
    <col min="3841" max="3841" width="21.5703125" style="3" customWidth="1"/>
    <col min="3842" max="3842" width="19.140625" style="3" customWidth="1"/>
    <col min="3843" max="3859" width="9.140625" style="3" customWidth="1"/>
    <col min="3860" max="4095" width="9" style="3"/>
    <col min="4096" max="4096" width="5.140625" style="3" customWidth="1"/>
    <col min="4097" max="4097" width="21.5703125" style="3" customWidth="1"/>
    <col min="4098" max="4098" width="19.140625" style="3" customWidth="1"/>
    <col min="4099" max="4115" width="9.140625" style="3" customWidth="1"/>
    <col min="4116" max="4351" width="9" style="3"/>
    <col min="4352" max="4352" width="5.140625" style="3" customWidth="1"/>
    <col min="4353" max="4353" width="21.5703125" style="3" customWidth="1"/>
    <col min="4354" max="4354" width="19.140625" style="3" customWidth="1"/>
    <col min="4355" max="4371" width="9.140625" style="3" customWidth="1"/>
    <col min="4372" max="4607" width="9" style="3"/>
    <col min="4608" max="4608" width="5.140625" style="3" customWidth="1"/>
    <col min="4609" max="4609" width="21.5703125" style="3" customWidth="1"/>
    <col min="4610" max="4610" width="19.140625" style="3" customWidth="1"/>
    <col min="4611" max="4627" width="9.140625" style="3" customWidth="1"/>
    <col min="4628" max="4863" width="9" style="3"/>
    <col min="4864" max="4864" width="5.140625" style="3" customWidth="1"/>
    <col min="4865" max="4865" width="21.5703125" style="3" customWidth="1"/>
    <col min="4866" max="4866" width="19.140625" style="3" customWidth="1"/>
    <col min="4867" max="4883" width="9.140625" style="3" customWidth="1"/>
    <col min="4884" max="5119" width="9" style="3"/>
    <col min="5120" max="5120" width="5.140625" style="3" customWidth="1"/>
    <col min="5121" max="5121" width="21.5703125" style="3" customWidth="1"/>
    <col min="5122" max="5122" width="19.140625" style="3" customWidth="1"/>
    <col min="5123" max="5139" width="9.140625" style="3" customWidth="1"/>
    <col min="5140" max="5375" width="9" style="3"/>
    <col min="5376" max="5376" width="5.140625" style="3" customWidth="1"/>
    <col min="5377" max="5377" width="21.5703125" style="3" customWidth="1"/>
    <col min="5378" max="5378" width="19.140625" style="3" customWidth="1"/>
    <col min="5379" max="5395" width="9.140625" style="3" customWidth="1"/>
    <col min="5396" max="5631" width="9" style="3"/>
    <col min="5632" max="5632" width="5.140625" style="3" customWidth="1"/>
    <col min="5633" max="5633" width="21.5703125" style="3" customWidth="1"/>
    <col min="5634" max="5634" width="19.140625" style="3" customWidth="1"/>
    <col min="5635" max="5651" width="9.140625" style="3" customWidth="1"/>
    <col min="5652" max="5887" width="9" style="3"/>
    <col min="5888" max="5888" width="5.140625" style="3" customWidth="1"/>
    <col min="5889" max="5889" width="21.5703125" style="3" customWidth="1"/>
    <col min="5890" max="5890" width="19.140625" style="3" customWidth="1"/>
    <col min="5891" max="5907" width="9.140625" style="3" customWidth="1"/>
    <col min="5908" max="6143" width="9" style="3"/>
    <col min="6144" max="6144" width="5.140625" style="3" customWidth="1"/>
    <col min="6145" max="6145" width="21.5703125" style="3" customWidth="1"/>
    <col min="6146" max="6146" width="19.140625" style="3" customWidth="1"/>
    <col min="6147" max="6163" width="9.140625" style="3" customWidth="1"/>
    <col min="6164" max="6399" width="9" style="3"/>
    <col min="6400" max="6400" width="5.140625" style="3" customWidth="1"/>
    <col min="6401" max="6401" width="21.5703125" style="3" customWidth="1"/>
    <col min="6402" max="6402" width="19.140625" style="3" customWidth="1"/>
    <col min="6403" max="6419" width="9.140625" style="3" customWidth="1"/>
    <col min="6420" max="6655" width="9" style="3"/>
    <col min="6656" max="6656" width="5.140625" style="3" customWidth="1"/>
    <col min="6657" max="6657" width="21.5703125" style="3" customWidth="1"/>
    <col min="6658" max="6658" width="19.140625" style="3" customWidth="1"/>
    <col min="6659" max="6675" width="9.140625" style="3" customWidth="1"/>
    <col min="6676" max="6911" width="9" style="3"/>
    <col min="6912" max="6912" width="5.140625" style="3" customWidth="1"/>
    <col min="6913" max="6913" width="21.5703125" style="3" customWidth="1"/>
    <col min="6914" max="6914" width="19.140625" style="3" customWidth="1"/>
    <col min="6915" max="6931" width="9.140625" style="3" customWidth="1"/>
    <col min="6932" max="7167" width="9" style="3"/>
    <col min="7168" max="7168" width="5.140625" style="3" customWidth="1"/>
    <col min="7169" max="7169" width="21.5703125" style="3" customWidth="1"/>
    <col min="7170" max="7170" width="19.140625" style="3" customWidth="1"/>
    <col min="7171" max="7187" width="9.140625" style="3" customWidth="1"/>
    <col min="7188" max="7423" width="9" style="3"/>
    <col min="7424" max="7424" width="5.140625" style="3" customWidth="1"/>
    <col min="7425" max="7425" width="21.5703125" style="3" customWidth="1"/>
    <col min="7426" max="7426" width="19.140625" style="3" customWidth="1"/>
    <col min="7427" max="7443" width="9.140625" style="3" customWidth="1"/>
    <col min="7444" max="7679" width="9" style="3"/>
    <col min="7680" max="7680" width="5.140625" style="3" customWidth="1"/>
    <col min="7681" max="7681" width="21.5703125" style="3" customWidth="1"/>
    <col min="7682" max="7682" width="19.140625" style="3" customWidth="1"/>
    <col min="7683" max="7699" width="9.140625" style="3" customWidth="1"/>
    <col min="7700" max="7935" width="9" style="3"/>
    <col min="7936" max="7936" width="5.140625" style="3" customWidth="1"/>
    <col min="7937" max="7937" width="21.5703125" style="3" customWidth="1"/>
    <col min="7938" max="7938" width="19.140625" style="3" customWidth="1"/>
    <col min="7939" max="7955" width="9.140625" style="3" customWidth="1"/>
    <col min="7956" max="8191" width="9" style="3"/>
    <col min="8192" max="8192" width="5.140625" style="3" customWidth="1"/>
    <col min="8193" max="8193" width="21.5703125" style="3" customWidth="1"/>
    <col min="8194" max="8194" width="19.140625" style="3" customWidth="1"/>
    <col min="8195" max="8211" width="9.140625" style="3" customWidth="1"/>
    <col min="8212" max="8447" width="9" style="3"/>
    <col min="8448" max="8448" width="5.140625" style="3" customWidth="1"/>
    <col min="8449" max="8449" width="21.5703125" style="3" customWidth="1"/>
    <col min="8450" max="8450" width="19.140625" style="3" customWidth="1"/>
    <col min="8451" max="8467" width="9.140625" style="3" customWidth="1"/>
    <col min="8468" max="8703" width="9" style="3"/>
    <col min="8704" max="8704" width="5.140625" style="3" customWidth="1"/>
    <col min="8705" max="8705" width="21.5703125" style="3" customWidth="1"/>
    <col min="8706" max="8706" width="19.140625" style="3" customWidth="1"/>
    <col min="8707" max="8723" width="9.140625" style="3" customWidth="1"/>
    <col min="8724" max="8959" width="9" style="3"/>
    <col min="8960" max="8960" width="5.140625" style="3" customWidth="1"/>
    <col min="8961" max="8961" width="21.5703125" style="3" customWidth="1"/>
    <col min="8962" max="8962" width="19.140625" style="3" customWidth="1"/>
    <col min="8963" max="8979" width="9.140625" style="3" customWidth="1"/>
    <col min="8980" max="9215" width="9" style="3"/>
    <col min="9216" max="9216" width="5.140625" style="3" customWidth="1"/>
    <col min="9217" max="9217" width="21.5703125" style="3" customWidth="1"/>
    <col min="9218" max="9218" width="19.140625" style="3" customWidth="1"/>
    <col min="9219" max="9235" width="9.140625" style="3" customWidth="1"/>
    <col min="9236" max="9471" width="9" style="3"/>
    <col min="9472" max="9472" width="5.140625" style="3" customWidth="1"/>
    <col min="9473" max="9473" width="21.5703125" style="3" customWidth="1"/>
    <col min="9474" max="9474" width="19.140625" style="3" customWidth="1"/>
    <col min="9475" max="9491" width="9.140625" style="3" customWidth="1"/>
    <col min="9492" max="9727" width="9" style="3"/>
    <col min="9728" max="9728" width="5.140625" style="3" customWidth="1"/>
    <col min="9729" max="9729" width="21.5703125" style="3" customWidth="1"/>
    <col min="9730" max="9730" width="19.140625" style="3" customWidth="1"/>
    <col min="9731" max="9747" width="9.140625" style="3" customWidth="1"/>
    <col min="9748" max="9983" width="9" style="3"/>
    <col min="9984" max="9984" width="5.140625" style="3" customWidth="1"/>
    <col min="9985" max="9985" width="21.5703125" style="3" customWidth="1"/>
    <col min="9986" max="9986" width="19.14062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21.5703125" style="3" customWidth="1"/>
    <col min="10242" max="10242" width="19.14062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21.5703125" style="3" customWidth="1"/>
    <col min="10498" max="10498" width="19.14062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21.5703125" style="3" customWidth="1"/>
    <col min="10754" max="10754" width="19.14062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21.5703125" style="3" customWidth="1"/>
    <col min="11010" max="11010" width="19.14062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21.5703125" style="3" customWidth="1"/>
    <col min="11266" max="11266" width="19.14062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21.5703125" style="3" customWidth="1"/>
    <col min="11522" max="11522" width="19.14062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21.5703125" style="3" customWidth="1"/>
    <col min="11778" max="11778" width="19.14062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21.5703125" style="3" customWidth="1"/>
    <col min="12034" max="12034" width="19.14062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21.5703125" style="3" customWidth="1"/>
    <col min="12290" max="12290" width="19.14062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21.5703125" style="3" customWidth="1"/>
    <col min="12546" max="12546" width="19.14062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21.5703125" style="3" customWidth="1"/>
    <col min="12802" max="12802" width="19.14062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21.5703125" style="3" customWidth="1"/>
    <col min="13058" max="13058" width="19.14062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21.5703125" style="3" customWidth="1"/>
    <col min="13314" max="13314" width="19.14062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21.5703125" style="3" customWidth="1"/>
    <col min="13570" max="13570" width="19.14062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21.5703125" style="3" customWidth="1"/>
    <col min="13826" max="13826" width="19.14062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21.5703125" style="3" customWidth="1"/>
    <col min="14082" max="14082" width="19.14062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21.5703125" style="3" customWidth="1"/>
    <col min="14338" max="14338" width="19.14062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21.5703125" style="3" customWidth="1"/>
    <col min="14594" max="14594" width="19.14062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21.5703125" style="3" customWidth="1"/>
    <col min="14850" max="14850" width="19.14062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21.5703125" style="3" customWidth="1"/>
    <col min="15106" max="15106" width="19.14062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21.5703125" style="3" customWidth="1"/>
    <col min="15362" max="15362" width="19.14062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21.5703125" style="3" customWidth="1"/>
    <col min="15618" max="15618" width="19.14062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21.5703125" style="3" customWidth="1"/>
    <col min="15874" max="15874" width="19.14062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21.5703125" style="3" customWidth="1"/>
    <col min="16130" max="16130" width="19.14062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73.25" customHeight="1" thickBot="1" x14ac:dyDescent="0.3">
      <c r="A2" s="4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78" t="s">
        <v>4</v>
      </c>
      <c r="B3" s="23" t="s">
        <v>42</v>
      </c>
      <c r="C3" s="24" t="s">
        <v>17</v>
      </c>
      <c r="D3" s="84">
        <f>100-(72.13-72.13)/72.13*50</f>
        <v>100</v>
      </c>
      <c r="E3" s="16"/>
      <c r="F3" s="137"/>
      <c r="G3" s="17"/>
      <c r="H3" s="73"/>
      <c r="I3" s="73"/>
      <c r="J3" s="73"/>
      <c r="K3" s="17"/>
      <c r="L3" s="90"/>
      <c r="M3" s="90"/>
      <c r="N3" s="55"/>
      <c r="O3" s="17"/>
      <c r="P3" s="17"/>
      <c r="Q3" s="17"/>
      <c r="R3" s="138"/>
      <c r="S3" s="67">
        <f>SUM(D3:R3)-K3-Q3</f>
        <v>100</v>
      </c>
    </row>
    <row r="4" spans="1:21" x14ac:dyDescent="0.25">
      <c r="A4" s="81" t="s">
        <v>6</v>
      </c>
      <c r="B4" s="23" t="s">
        <v>103</v>
      </c>
      <c r="C4" s="24" t="s">
        <v>19</v>
      </c>
      <c r="D4" s="163" t="s">
        <v>12</v>
      </c>
      <c r="E4" s="68" t="s">
        <v>12</v>
      </c>
      <c r="F4" s="19"/>
      <c r="G4" s="115"/>
      <c r="H4" s="18"/>
      <c r="I4" s="18"/>
      <c r="J4" s="96"/>
      <c r="K4" s="18"/>
      <c r="L4" s="33"/>
      <c r="M4" s="18"/>
      <c r="N4" s="18"/>
      <c r="O4" s="33"/>
      <c r="P4" s="33"/>
      <c r="Q4" s="33"/>
      <c r="R4" s="139"/>
      <c r="S4" s="67">
        <f t="shared" ref="S4:S10" si="0">SUM(D4:R4)</f>
        <v>0</v>
      </c>
    </row>
    <row r="5" spans="1:21" x14ac:dyDescent="0.25">
      <c r="A5" s="81" t="s">
        <v>8</v>
      </c>
      <c r="B5" s="23"/>
      <c r="C5" s="24"/>
      <c r="D5" s="30"/>
      <c r="E5" s="35"/>
      <c r="F5" s="35"/>
      <c r="G5" s="65"/>
      <c r="H5" s="21"/>
      <c r="I5" s="21"/>
      <c r="J5" s="18"/>
      <c r="K5" s="18"/>
      <c r="L5" s="36"/>
      <c r="M5" s="36"/>
      <c r="N5" s="21"/>
      <c r="O5" s="21"/>
      <c r="P5" s="18"/>
      <c r="Q5" s="18"/>
      <c r="R5" s="24"/>
      <c r="S5" s="67">
        <f t="shared" si="0"/>
        <v>0</v>
      </c>
    </row>
    <row r="6" spans="1:21" x14ac:dyDescent="0.25">
      <c r="A6" s="81" t="s">
        <v>11</v>
      </c>
      <c r="B6" s="23"/>
      <c r="C6" s="24"/>
      <c r="D6" s="30"/>
      <c r="E6" s="35"/>
      <c r="F6" s="146"/>
      <c r="G6" s="35"/>
      <c r="H6" s="18"/>
      <c r="I6" s="18"/>
      <c r="J6" s="74"/>
      <c r="K6" s="18"/>
      <c r="L6" s="18"/>
      <c r="M6" s="33"/>
      <c r="N6" s="18"/>
      <c r="O6" s="33"/>
      <c r="P6" s="18"/>
      <c r="Q6" s="18"/>
      <c r="R6" s="139"/>
      <c r="S6" s="67">
        <f t="shared" si="0"/>
        <v>0</v>
      </c>
    </row>
    <row r="7" spans="1:21" x14ac:dyDescent="0.25">
      <c r="A7" s="81" t="s">
        <v>13</v>
      </c>
      <c r="B7" s="23"/>
      <c r="C7" s="24"/>
      <c r="D7" s="30"/>
      <c r="E7" s="35"/>
      <c r="F7" s="35"/>
      <c r="G7" s="65"/>
      <c r="H7" s="21"/>
      <c r="I7" s="21"/>
      <c r="J7" s="18"/>
      <c r="K7" s="18"/>
      <c r="L7" s="36"/>
      <c r="M7" s="36"/>
      <c r="N7" s="21"/>
      <c r="O7" s="21"/>
      <c r="P7" s="18"/>
      <c r="Q7" s="18"/>
      <c r="R7" s="139"/>
      <c r="S7" s="67">
        <f t="shared" si="0"/>
        <v>0</v>
      </c>
    </row>
    <row r="8" spans="1:21" x14ac:dyDescent="0.25">
      <c r="A8" s="81" t="s">
        <v>15</v>
      </c>
      <c r="B8" s="23"/>
      <c r="C8" s="24"/>
      <c r="D8" s="30"/>
      <c r="E8" s="35"/>
      <c r="F8" s="35"/>
      <c r="G8" s="65"/>
      <c r="H8" s="21"/>
      <c r="I8" s="21"/>
      <c r="J8" s="18"/>
      <c r="K8" s="18"/>
      <c r="L8" s="36"/>
      <c r="M8" s="36"/>
      <c r="N8" s="21"/>
      <c r="O8" s="21"/>
      <c r="P8" s="18"/>
      <c r="Q8" s="18"/>
      <c r="R8" s="139"/>
      <c r="S8" s="67">
        <f t="shared" si="0"/>
        <v>0</v>
      </c>
    </row>
    <row r="9" spans="1:21" x14ac:dyDescent="0.25">
      <c r="A9" s="132" t="s">
        <v>18</v>
      </c>
      <c r="B9" s="23"/>
      <c r="C9" s="24"/>
      <c r="D9" s="30"/>
      <c r="E9" s="35"/>
      <c r="F9" s="35"/>
      <c r="G9" s="65"/>
      <c r="H9" s="21"/>
      <c r="I9" s="21"/>
      <c r="J9" s="18"/>
      <c r="K9" s="18"/>
      <c r="L9" s="36"/>
      <c r="M9" s="36"/>
      <c r="N9" s="21"/>
      <c r="O9" s="21"/>
      <c r="P9" s="18"/>
      <c r="Q9" s="21"/>
      <c r="R9" s="24"/>
      <c r="S9" s="67">
        <f t="shared" si="0"/>
        <v>0</v>
      </c>
    </row>
    <row r="10" spans="1:21" ht="15.75" thickBot="1" x14ac:dyDescent="0.3">
      <c r="A10" s="38" t="s">
        <v>20</v>
      </c>
      <c r="B10" s="85"/>
      <c r="C10" s="86"/>
      <c r="D10" s="87"/>
      <c r="E10" s="88"/>
      <c r="F10" s="45"/>
      <c r="G10" s="147"/>
      <c r="H10" s="100"/>
      <c r="I10" s="100"/>
      <c r="J10" s="45"/>
      <c r="K10" s="45"/>
      <c r="L10" s="147"/>
      <c r="M10" s="147"/>
      <c r="N10" s="100"/>
      <c r="O10" s="100"/>
      <c r="P10" s="45"/>
      <c r="Q10" s="59"/>
      <c r="R10" s="40"/>
      <c r="S10" s="46">
        <f t="shared" si="0"/>
        <v>0</v>
      </c>
    </row>
    <row r="11" spans="1:21" x14ac:dyDescent="0.25">
      <c r="A11" s="2"/>
      <c r="B11" s="2"/>
      <c r="C11" s="2"/>
      <c r="D11" s="47"/>
      <c r="E11" s="47"/>
      <c r="F11" s="48"/>
      <c r="G11" s="47"/>
      <c r="H11" s="47"/>
      <c r="I11" s="47"/>
      <c r="J11" s="47"/>
      <c r="K11" s="47"/>
      <c r="L11" s="47"/>
      <c r="M11" s="48"/>
      <c r="N11" s="47"/>
      <c r="O11" s="48"/>
      <c r="P11" s="48"/>
      <c r="Q11" s="48"/>
      <c r="R11" s="48"/>
      <c r="S11" s="50"/>
    </row>
    <row r="12" spans="1:21" x14ac:dyDescent="0.25">
      <c r="A12" s="2"/>
      <c r="B12" s="2"/>
      <c r="C12" s="2"/>
      <c r="D12" s="47"/>
      <c r="E12" s="47"/>
      <c r="F12" s="48"/>
      <c r="G12" s="47"/>
      <c r="H12" s="47"/>
      <c r="I12" s="47"/>
      <c r="J12" s="47"/>
      <c r="K12" s="47"/>
      <c r="L12" s="47"/>
      <c r="M12" s="48"/>
      <c r="N12" s="47"/>
      <c r="O12" s="48"/>
      <c r="P12" s="48"/>
      <c r="Q12" s="48"/>
      <c r="R12" s="48"/>
      <c r="S12" s="50"/>
    </row>
    <row r="13" spans="1:21" x14ac:dyDescent="0.25">
      <c r="A13" s="2"/>
      <c r="B13" s="2"/>
      <c r="C13" s="2"/>
      <c r="D13" s="51"/>
      <c r="E13" s="2"/>
      <c r="F13" s="51"/>
      <c r="G13" s="2"/>
      <c r="H13" s="2"/>
      <c r="I13" s="2"/>
      <c r="J13" s="51"/>
      <c r="K13" s="51"/>
      <c r="L13" s="2"/>
      <c r="M13" s="83"/>
      <c r="N13" s="2"/>
      <c r="O13" s="2"/>
      <c r="P13" s="2"/>
      <c r="Q13" s="2"/>
      <c r="R13" s="2"/>
      <c r="S13" s="2"/>
    </row>
    <row r="14" spans="1:21" s="52" customFormat="1" x14ac:dyDescent="0.25">
      <c r="A14" s="52" t="s">
        <v>34</v>
      </c>
    </row>
    <row r="15" spans="1:21" s="53" customFormat="1" x14ac:dyDescent="0.25">
      <c r="A15" s="53" t="s">
        <v>35</v>
      </c>
    </row>
    <row r="16" spans="1:21" x14ac:dyDescent="0.25">
      <c r="A16" s="2"/>
      <c r="B16" s="2"/>
      <c r="C16" s="2"/>
      <c r="D16" s="2"/>
      <c r="E16" s="2"/>
      <c r="F16" s="5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5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5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5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5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5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2" customFormat="1" x14ac:dyDescent="0.25">
      <c r="F22" s="51"/>
    </row>
    <row r="23" spans="1:19" s="2" customFormat="1" x14ac:dyDescent="0.25">
      <c r="F23" s="51"/>
    </row>
    <row r="24" spans="1:19" s="2" customFormat="1" x14ac:dyDescent="0.25">
      <c r="F24" s="51"/>
    </row>
    <row r="25" spans="1:19" s="2" customFormat="1" x14ac:dyDescent="0.25">
      <c r="F25" s="51"/>
    </row>
    <row r="26" spans="1:19" s="2" customFormat="1" x14ac:dyDescent="0.25">
      <c r="F26" s="51"/>
    </row>
    <row r="27" spans="1:19" s="2" customFormat="1" x14ac:dyDescent="0.25">
      <c r="F27" s="51"/>
    </row>
    <row r="28" spans="1:19" s="2" customFormat="1" x14ac:dyDescent="0.25">
      <c r="F28" s="51"/>
    </row>
    <row r="29" spans="1:19" s="2" customFormat="1" x14ac:dyDescent="0.25">
      <c r="F29" s="51"/>
    </row>
    <row r="30" spans="1:19" s="2" customFormat="1" x14ac:dyDescent="0.25">
      <c r="F30" s="51"/>
    </row>
    <row r="31" spans="1:19" s="2" customFormat="1" x14ac:dyDescent="0.25">
      <c r="F31" s="51"/>
    </row>
    <row r="32" spans="1:19" s="2" customFormat="1" x14ac:dyDescent="0.25">
      <c r="F32" s="51"/>
    </row>
    <row r="33" spans="6:6" s="2" customFormat="1" x14ac:dyDescent="0.25">
      <c r="F33" s="51"/>
    </row>
    <row r="34" spans="6:6" s="2" customFormat="1" x14ac:dyDescent="0.25">
      <c r="F34" s="51"/>
    </row>
    <row r="35" spans="6:6" s="2" customFormat="1" x14ac:dyDescent="0.25">
      <c r="F35" s="51"/>
    </row>
    <row r="36" spans="6:6" s="2" customFormat="1" x14ac:dyDescent="0.25">
      <c r="F36" s="51"/>
    </row>
    <row r="37" spans="6:6" s="2" customFormat="1" x14ac:dyDescent="0.25">
      <c r="F37" s="51"/>
    </row>
    <row r="38" spans="6:6" s="2" customFormat="1" x14ac:dyDescent="0.25">
      <c r="F38" s="51"/>
    </row>
    <row r="39" spans="6:6" s="2" customFormat="1" x14ac:dyDescent="0.25">
      <c r="F39" s="51"/>
    </row>
  </sheetData>
  <sortState ref="B3:S10">
    <sortCondition descending="1" ref="S3"/>
  </sortState>
  <mergeCells count="1">
    <mergeCell ref="A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G9" sqref="G9"/>
    </sheetView>
  </sheetViews>
  <sheetFormatPr defaultColWidth="9" defaultRowHeight="15" x14ac:dyDescent="0.25"/>
  <cols>
    <col min="1" max="1" width="5.140625" style="3" customWidth="1"/>
    <col min="2" max="2" width="25.85546875" style="3" customWidth="1"/>
    <col min="3" max="3" width="11.85546875" style="3" customWidth="1"/>
    <col min="4" max="5" width="9.140625" style="3" customWidth="1"/>
    <col min="6" max="6" width="9.140625" style="54" customWidth="1"/>
    <col min="7" max="19" width="9.140625" style="3" customWidth="1"/>
    <col min="20" max="29" width="9" style="2"/>
    <col min="30" max="255" width="9" style="3"/>
    <col min="256" max="256" width="5.140625" style="3" customWidth="1"/>
    <col min="257" max="257" width="25.85546875" style="3" customWidth="1"/>
    <col min="258" max="258" width="11.85546875" style="3" customWidth="1"/>
    <col min="259" max="275" width="9.140625" style="3" customWidth="1"/>
    <col min="276" max="511" width="9" style="3"/>
    <col min="512" max="512" width="5.140625" style="3" customWidth="1"/>
    <col min="513" max="513" width="25.85546875" style="3" customWidth="1"/>
    <col min="514" max="514" width="11.85546875" style="3" customWidth="1"/>
    <col min="515" max="531" width="9.140625" style="3" customWidth="1"/>
    <col min="532" max="767" width="9" style="3"/>
    <col min="768" max="768" width="5.140625" style="3" customWidth="1"/>
    <col min="769" max="769" width="25.85546875" style="3" customWidth="1"/>
    <col min="770" max="770" width="11.85546875" style="3" customWidth="1"/>
    <col min="771" max="787" width="9.140625" style="3" customWidth="1"/>
    <col min="788" max="1023" width="9" style="3"/>
    <col min="1024" max="1024" width="5.140625" style="3" customWidth="1"/>
    <col min="1025" max="1025" width="25.85546875" style="3" customWidth="1"/>
    <col min="1026" max="1026" width="11.85546875" style="3" customWidth="1"/>
    <col min="1027" max="1043" width="9.140625" style="3" customWidth="1"/>
    <col min="1044" max="1279" width="9" style="3"/>
    <col min="1280" max="1280" width="5.140625" style="3" customWidth="1"/>
    <col min="1281" max="1281" width="25.85546875" style="3" customWidth="1"/>
    <col min="1282" max="1282" width="11.85546875" style="3" customWidth="1"/>
    <col min="1283" max="1299" width="9.140625" style="3" customWidth="1"/>
    <col min="1300" max="1535" width="9" style="3"/>
    <col min="1536" max="1536" width="5.140625" style="3" customWidth="1"/>
    <col min="1537" max="1537" width="25.85546875" style="3" customWidth="1"/>
    <col min="1538" max="1538" width="11.85546875" style="3" customWidth="1"/>
    <col min="1539" max="1555" width="9.140625" style="3" customWidth="1"/>
    <col min="1556" max="1791" width="9" style="3"/>
    <col min="1792" max="1792" width="5.140625" style="3" customWidth="1"/>
    <col min="1793" max="1793" width="25.85546875" style="3" customWidth="1"/>
    <col min="1794" max="1794" width="11.85546875" style="3" customWidth="1"/>
    <col min="1795" max="1811" width="9.140625" style="3" customWidth="1"/>
    <col min="1812" max="2047" width="9" style="3"/>
    <col min="2048" max="2048" width="5.140625" style="3" customWidth="1"/>
    <col min="2049" max="2049" width="25.85546875" style="3" customWidth="1"/>
    <col min="2050" max="2050" width="11.85546875" style="3" customWidth="1"/>
    <col min="2051" max="2067" width="9.140625" style="3" customWidth="1"/>
    <col min="2068" max="2303" width="9" style="3"/>
    <col min="2304" max="2304" width="5.140625" style="3" customWidth="1"/>
    <col min="2305" max="2305" width="25.85546875" style="3" customWidth="1"/>
    <col min="2306" max="2306" width="11.85546875" style="3" customWidth="1"/>
    <col min="2307" max="2323" width="9.140625" style="3" customWidth="1"/>
    <col min="2324" max="2559" width="9" style="3"/>
    <col min="2560" max="2560" width="5.140625" style="3" customWidth="1"/>
    <col min="2561" max="2561" width="25.85546875" style="3" customWidth="1"/>
    <col min="2562" max="2562" width="11.85546875" style="3" customWidth="1"/>
    <col min="2563" max="2579" width="9.140625" style="3" customWidth="1"/>
    <col min="2580" max="2815" width="9" style="3"/>
    <col min="2816" max="2816" width="5.140625" style="3" customWidth="1"/>
    <col min="2817" max="2817" width="25.85546875" style="3" customWidth="1"/>
    <col min="2818" max="2818" width="11.85546875" style="3" customWidth="1"/>
    <col min="2819" max="2835" width="9.140625" style="3" customWidth="1"/>
    <col min="2836" max="3071" width="9" style="3"/>
    <col min="3072" max="3072" width="5.140625" style="3" customWidth="1"/>
    <col min="3073" max="3073" width="25.85546875" style="3" customWidth="1"/>
    <col min="3074" max="3074" width="11.85546875" style="3" customWidth="1"/>
    <col min="3075" max="3091" width="9.140625" style="3" customWidth="1"/>
    <col min="3092" max="3327" width="9" style="3"/>
    <col min="3328" max="3328" width="5.140625" style="3" customWidth="1"/>
    <col min="3329" max="3329" width="25.85546875" style="3" customWidth="1"/>
    <col min="3330" max="3330" width="11.85546875" style="3" customWidth="1"/>
    <col min="3331" max="3347" width="9.140625" style="3" customWidth="1"/>
    <col min="3348" max="3583" width="9" style="3"/>
    <col min="3584" max="3584" width="5.140625" style="3" customWidth="1"/>
    <col min="3585" max="3585" width="25.85546875" style="3" customWidth="1"/>
    <col min="3586" max="3586" width="11.85546875" style="3" customWidth="1"/>
    <col min="3587" max="3603" width="9.140625" style="3" customWidth="1"/>
    <col min="3604" max="3839" width="9" style="3"/>
    <col min="3840" max="3840" width="5.140625" style="3" customWidth="1"/>
    <col min="3841" max="3841" width="25.85546875" style="3" customWidth="1"/>
    <col min="3842" max="3842" width="11.85546875" style="3" customWidth="1"/>
    <col min="3843" max="3859" width="9.140625" style="3" customWidth="1"/>
    <col min="3860" max="4095" width="9" style="3"/>
    <col min="4096" max="4096" width="5.140625" style="3" customWidth="1"/>
    <col min="4097" max="4097" width="25.85546875" style="3" customWidth="1"/>
    <col min="4098" max="4098" width="11.85546875" style="3" customWidth="1"/>
    <col min="4099" max="4115" width="9.140625" style="3" customWidth="1"/>
    <col min="4116" max="4351" width="9" style="3"/>
    <col min="4352" max="4352" width="5.140625" style="3" customWidth="1"/>
    <col min="4353" max="4353" width="25.85546875" style="3" customWidth="1"/>
    <col min="4354" max="4354" width="11.85546875" style="3" customWidth="1"/>
    <col min="4355" max="4371" width="9.140625" style="3" customWidth="1"/>
    <col min="4372" max="4607" width="9" style="3"/>
    <col min="4608" max="4608" width="5.140625" style="3" customWidth="1"/>
    <col min="4609" max="4609" width="25.85546875" style="3" customWidth="1"/>
    <col min="4610" max="4610" width="11.85546875" style="3" customWidth="1"/>
    <col min="4611" max="4627" width="9.140625" style="3" customWidth="1"/>
    <col min="4628" max="4863" width="9" style="3"/>
    <col min="4864" max="4864" width="5.140625" style="3" customWidth="1"/>
    <col min="4865" max="4865" width="25.85546875" style="3" customWidth="1"/>
    <col min="4866" max="4866" width="11.85546875" style="3" customWidth="1"/>
    <col min="4867" max="4883" width="9.140625" style="3" customWidth="1"/>
    <col min="4884" max="5119" width="9" style="3"/>
    <col min="5120" max="5120" width="5.140625" style="3" customWidth="1"/>
    <col min="5121" max="5121" width="25.85546875" style="3" customWidth="1"/>
    <col min="5122" max="5122" width="11.85546875" style="3" customWidth="1"/>
    <col min="5123" max="5139" width="9.140625" style="3" customWidth="1"/>
    <col min="5140" max="5375" width="9" style="3"/>
    <col min="5376" max="5376" width="5.140625" style="3" customWidth="1"/>
    <col min="5377" max="5377" width="25.85546875" style="3" customWidth="1"/>
    <col min="5378" max="5378" width="11.85546875" style="3" customWidth="1"/>
    <col min="5379" max="5395" width="9.140625" style="3" customWidth="1"/>
    <col min="5396" max="5631" width="9" style="3"/>
    <col min="5632" max="5632" width="5.140625" style="3" customWidth="1"/>
    <col min="5633" max="5633" width="25.85546875" style="3" customWidth="1"/>
    <col min="5634" max="5634" width="11.85546875" style="3" customWidth="1"/>
    <col min="5635" max="5651" width="9.140625" style="3" customWidth="1"/>
    <col min="5652" max="5887" width="9" style="3"/>
    <col min="5888" max="5888" width="5.140625" style="3" customWidth="1"/>
    <col min="5889" max="5889" width="25.85546875" style="3" customWidth="1"/>
    <col min="5890" max="5890" width="11.85546875" style="3" customWidth="1"/>
    <col min="5891" max="5907" width="9.140625" style="3" customWidth="1"/>
    <col min="5908" max="6143" width="9" style="3"/>
    <col min="6144" max="6144" width="5.140625" style="3" customWidth="1"/>
    <col min="6145" max="6145" width="25.85546875" style="3" customWidth="1"/>
    <col min="6146" max="6146" width="11.85546875" style="3" customWidth="1"/>
    <col min="6147" max="6163" width="9.140625" style="3" customWidth="1"/>
    <col min="6164" max="6399" width="9" style="3"/>
    <col min="6400" max="6400" width="5.140625" style="3" customWidth="1"/>
    <col min="6401" max="6401" width="25.85546875" style="3" customWidth="1"/>
    <col min="6402" max="6402" width="11.85546875" style="3" customWidth="1"/>
    <col min="6403" max="6419" width="9.140625" style="3" customWidth="1"/>
    <col min="6420" max="6655" width="9" style="3"/>
    <col min="6656" max="6656" width="5.140625" style="3" customWidth="1"/>
    <col min="6657" max="6657" width="25.85546875" style="3" customWidth="1"/>
    <col min="6658" max="6658" width="11.85546875" style="3" customWidth="1"/>
    <col min="6659" max="6675" width="9.140625" style="3" customWidth="1"/>
    <col min="6676" max="6911" width="9" style="3"/>
    <col min="6912" max="6912" width="5.140625" style="3" customWidth="1"/>
    <col min="6913" max="6913" width="25.85546875" style="3" customWidth="1"/>
    <col min="6914" max="6914" width="11.85546875" style="3" customWidth="1"/>
    <col min="6915" max="6931" width="9.140625" style="3" customWidth="1"/>
    <col min="6932" max="7167" width="9" style="3"/>
    <col min="7168" max="7168" width="5.140625" style="3" customWidth="1"/>
    <col min="7169" max="7169" width="25.85546875" style="3" customWidth="1"/>
    <col min="7170" max="7170" width="11.85546875" style="3" customWidth="1"/>
    <col min="7171" max="7187" width="9.140625" style="3" customWidth="1"/>
    <col min="7188" max="7423" width="9" style="3"/>
    <col min="7424" max="7424" width="5.140625" style="3" customWidth="1"/>
    <col min="7425" max="7425" width="25.85546875" style="3" customWidth="1"/>
    <col min="7426" max="7426" width="11.85546875" style="3" customWidth="1"/>
    <col min="7427" max="7443" width="9.140625" style="3" customWidth="1"/>
    <col min="7444" max="7679" width="9" style="3"/>
    <col min="7680" max="7680" width="5.140625" style="3" customWidth="1"/>
    <col min="7681" max="7681" width="25.85546875" style="3" customWidth="1"/>
    <col min="7682" max="7682" width="11.85546875" style="3" customWidth="1"/>
    <col min="7683" max="7699" width="9.140625" style="3" customWidth="1"/>
    <col min="7700" max="7935" width="9" style="3"/>
    <col min="7936" max="7936" width="5.140625" style="3" customWidth="1"/>
    <col min="7937" max="7937" width="25.85546875" style="3" customWidth="1"/>
    <col min="7938" max="7938" width="11.85546875" style="3" customWidth="1"/>
    <col min="7939" max="7955" width="9.140625" style="3" customWidth="1"/>
    <col min="7956" max="8191" width="9" style="3"/>
    <col min="8192" max="8192" width="5.140625" style="3" customWidth="1"/>
    <col min="8193" max="8193" width="25.85546875" style="3" customWidth="1"/>
    <col min="8194" max="8194" width="11.85546875" style="3" customWidth="1"/>
    <col min="8195" max="8211" width="9.140625" style="3" customWidth="1"/>
    <col min="8212" max="8447" width="9" style="3"/>
    <col min="8448" max="8448" width="5.140625" style="3" customWidth="1"/>
    <col min="8449" max="8449" width="25.85546875" style="3" customWidth="1"/>
    <col min="8450" max="8450" width="11.85546875" style="3" customWidth="1"/>
    <col min="8451" max="8467" width="9.140625" style="3" customWidth="1"/>
    <col min="8468" max="8703" width="9" style="3"/>
    <col min="8704" max="8704" width="5.140625" style="3" customWidth="1"/>
    <col min="8705" max="8705" width="25.85546875" style="3" customWidth="1"/>
    <col min="8706" max="8706" width="11.85546875" style="3" customWidth="1"/>
    <col min="8707" max="8723" width="9.140625" style="3" customWidth="1"/>
    <col min="8724" max="8959" width="9" style="3"/>
    <col min="8960" max="8960" width="5.140625" style="3" customWidth="1"/>
    <col min="8961" max="8961" width="25.85546875" style="3" customWidth="1"/>
    <col min="8962" max="8962" width="11.85546875" style="3" customWidth="1"/>
    <col min="8963" max="8979" width="9.140625" style="3" customWidth="1"/>
    <col min="8980" max="9215" width="9" style="3"/>
    <col min="9216" max="9216" width="5.140625" style="3" customWidth="1"/>
    <col min="9217" max="9217" width="25.85546875" style="3" customWidth="1"/>
    <col min="9218" max="9218" width="11.85546875" style="3" customWidth="1"/>
    <col min="9219" max="9235" width="9.140625" style="3" customWidth="1"/>
    <col min="9236" max="9471" width="9" style="3"/>
    <col min="9472" max="9472" width="5.140625" style="3" customWidth="1"/>
    <col min="9473" max="9473" width="25.85546875" style="3" customWidth="1"/>
    <col min="9474" max="9474" width="11.85546875" style="3" customWidth="1"/>
    <col min="9475" max="9491" width="9.140625" style="3" customWidth="1"/>
    <col min="9492" max="9727" width="9" style="3"/>
    <col min="9728" max="9728" width="5.140625" style="3" customWidth="1"/>
    <col min="9729" max="9729" width="25.85546875" style="3" customWidth="1"/>
    <col min="9730" max="9730" width="11.85546875" style="3" customWidth="1"/>
    <col min="9731" max="9747" width="9.140625" style="3" customWidth="1"/>
    <col min="9748" max="9983" width="9" style="3"/>
    <col min="9984" max="9984" width="5.140625" style="3" customWidth="1"/>
    <col min="9985" max="9985" width="25.85546875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25.85546875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25.85546875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25.85546875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25.85546875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25.85546875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25.85546875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25.85546875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25.85546875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25.85546875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25.85546875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25.85546875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25.85546875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25.85546875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25.85546875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25.85546875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25.85546875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25.85546875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25.85546875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25.85546875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25.85546875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25.85546875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25.85546875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25.85546875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25.85546875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</row>
    <row r="2" spans="1:21" ht="159.75" customHeight="1" thickBot="1" x14ac:dyDescent="0.3">
      <c r="A2" s="4" t="s">
        <v>0</v>
      </c>
      <c r="B2" s="5" t="s">
        <v>1</v>
      </c>
      <c r="C2" s="6" t="s">
        <v>2</v>
      </c>
      <c r="D2" s="7" t="s">
        <v>88</v>
      </c>
      <c r="E2" s="8" t="s">
        <v>89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7"/>
      <c r="R2" s="8"/>
      <c r="S2" s="9" t="s">
        <v>3</v>
      </c>
      <c r="T2" s="10"/>
      <c r="U2" s="10"/>
    </row>
    <row r="3" spans="1:21" x14ac:dyDescent="0.25">
      <c r="A3" s="78" t="s">
        <v>4</v>
      </c>
      <c r="B3" s="14" t="s">
        <v>43</v>
      </c>
      <c r="C3" s="15"/>
      <c r="D3" s="174">
        <f>100-(63.53-63.53)/63.53*50</f>
        <v>100</v>
      </c>
      <c r="E3" s="17">
        <f>100-(63.28-63.28)/63.28*50</f>
        <v>100</v>
      </c>
      <c r="F3" s="125"/>
      <c r="G3" s="17"/>
      <c r="H3" s="17"/>
      <c r="I3" s="17"/>
      <c r="J3" s="17"/>
      <c r="K3" s="17"/>
      <c r="L3" s="16"/>
      <c r="M3" s="16"/>
      <c r="N3" s="16"/>
      <c r="O3" s="17"/>
      <c r="P3" s="18"/>
      <c r="Q3" s="91"/>
      <c r="R3" s="66"/>
      <c r="S3" s="20">
        <f>SUM(D3:R3)</f>
        <v>200</v>
      </c>
    </row>
    <row r="4" spans="1:21" x14ac:dyDescent="0.25">
      <c r="A4" s="81" t="s">
        <v>6</v>
      </c>
      <c r="B4" s="23" t="s">
        <v>118</v>
      </c>
      <c r="C4" s="24"/>
      <c r="D4" s="172">
        <f>100-(73.25-63.53)/63.53*50</f>
        <v>92.350070832677474</v>
      </c>
      <c r="E4" s="25">
        <f>100-(73.33-63.28)/63.28*50</f>
        <v>92.059102402022759</v>
      </c>
      <c r="F4" s="19"/>
      <c r="G4" s="19"/>
      <c r="H4" s="18"/>
      <c r="I4" s="28"/>
      <c r="J4" s="18"/>
      <c r="K4" s="18"/>
      <c r="L4" s="18"/>
      <c r="M4" s="18"/>
      <c r="N4" s="18"/>
      <c r="O4" s="18"/>
      <c r="P4" s="66"/>
      <c r="Q4" s="18"/>
      <c r="R4" s="66"/>
      <c r="S4" s="126">
        <f>SUM(D4:R4)</f>
        <v>184.40917323470023</v>
      </c>
    </row>
    <row r="5" spans="1:21" x14ac:dyDescent="0.25">
      <c r="A5" s="81" t="s">
        <v>8</v>
      </c>
      <c r="B5" s="23" t="s">
        <v>59</v>
      </c>
      <c r="C5" s="24" t="s">
        <v>7</v>
      </c>
      <c r="D5" s="158"/>
      <c r="E5" s="18">
        <f>100-(95.08-63.28)/63.28*50</f>
        <v>74.873577749683946</v>
      </c>
      <c r="F5" s="27"/>
      <c r="G5" s="27"/>
      <c r="H5" s="19"/>
      <c r="I5" s="63"/>
      <c r="J5" s="18"/>
      <c r="K5" s="18"/>
      <c r="L5" s="18"/>
      <c r="M5" s="18"/>
      <c r="N5" s="19"/>
      <c r="O5" s="18"/>
      <c r="P5" s="18"/>
      <c r="Q5" s="19"/>
      <c r="R5" s="19"/>
      <c r="S5" s="26">
        <f>SUM(D5:R5)</f>
        <v>74.873577749683946</v>
      </c>
    </row>
    <row r="6" spans="1:21" x14ac:dyDescent="0.25">
      <c r="A6" s="81" t="s">
        <v>11</v>
      </c>
      <c r="B6" s="23" t="s">
        <v>126</v>
      </c>
      <c r="C6" s="24" t="s">
        <v>61</v>
      </c>
      <c r="D6" s="175"/>
      <c r="E6" s="25">
        <f>100-(112.28-63.28)/63.28*50</f>
        <v>61.283185840707965</v>
      </c>
      <c r="F6" s="19"/>
      <c r="G6" s="19"/>
      <c r="H6" s="19"/>
      <c r="I6" s="63"/>
      <c r="J6" s="18"/>
      <c r="K6" s="18"/>
      <c r="L6" s="18"/>
      <c r="M6" s="18"/>
      <c r="N6" s="19"/>
      <c r="O6" s="18"/>
      <c r="P6" s="18"/>
      <c r="Q6" s="19"/>
      <c r="R6" s="19"/>
      <c r="S6" s="26">
        <f>SUM(D6:R6)</f>
        <v>61.283185840707965</v>
      </c>
    </row>
    <row r="7" spans="1:21" x14ac:dyDescent="0.25">
      <c r="A7" s="81" t="s">
        <v>13</v>
      </c>
      <c r="B7" s="23"/>
      <c r="C7" s="24"/>
      <c r="D7" s="175"/>
      <c r="E7" s="25"/>
      <c r="F7" s="19"/>
      <c r="G7" s="19"/>
      <c r="H7" s="19"/>
      <c r="I7" s="63"/>
      <c r="J7" s="18"/>
      <c r="K7" s="18"/>
      <c r="L7" s="18"/>
      <c r="M7" s="18"/>
      <c r="N7" s="19"/>
      <c r="O7" s="18"/>
      <c r="P7" s="91"/>
      <c r="Q7" s="19"/>
      <c r="R7" s="19"/>
      <c r="S7" s="26">
        <f>SUM(D7:R7)</f>
        <v>0</v>
      </c>
    </row>
    <row r="8" spans="1:21" x14ac:dyDescent="0.25">
      <c r="A8" s="81" t="s">
        <v>15</v>
      </c>
      <c r="B8" s="23"/>
      <c r="C8" s="24"/>
      <c r="D8" s="124"/>
      <c r="E8" s="19"/>
      <c r="F8" s="19"/>
      <c r="G8" s="19"/>
      <c r="H8" s="19"/>
      <c r="I8" s="63"/>
      <c r="J8" s="18"/>
      <c r="K8" s="18"/>
      <c r="L8" s="18"/>
      <c r="M8" s="18"/>
      <c r="N8" s="19"/>
      <c r="O8" s="18"/>
      <c r="P8" s="25"/>
      <c r="Q8" s="19"/>
      <c r="R8" s="19"/>
      <c r="S8" s="26">
        <f>SUM(D8:R8)</f>
        <v>0</v>
      </c>
    </row>
    <row r="9" spans="1:21" x14ac:dyDescent="0.25">
      <c r="A9" s="81" t="s">
        <v>15</v>
      </c>
      <c r="B9" s="23"/>
      <c r="C9" s="24"/>
      <c r="D9" s="111"/>
      <c r="E9" s="19"/>
      <c r="F9" s="113"/>
      <c r="G9" s="32"/>
      <c r="H9" s="32"/>
      <c r="I9" s="62"/>
      <c r="J9" s="21"/>
      <c r="K9" s="18"/>
      <c r="L9" s="18"/>
      <c r="M9" s="18"/>
      <c r="N9" s="19"/>
      <c r="O9" s="18"/>
      <c r="P9" s="18"/>
      <c r="Q9" s="19"/>
      <c r="R9" s="122"/>
      <c r="S9" s="26">
        <f>SUM(D9:R9)</f>
        <v>0</v>
      </c>
    </row>
    <row r="10" spans="1:21" x14ac:dyDescent="0.25">
      <c r="A10" s="81" t="s">
        <v>20</v>
      </c>
      <c r="B10" s="23"/>
      <c r="C10" s="24"/>
      <c r="D10" s="124"/>
      <c r="E10" s="19"/>
      <c r="F10" s="18"/>
      <c r="G10" s="18"/>
      <c r="H10" s="19"/>
      <c r="I10" s="19"/>
      <c r="J10" s="18"/>
      <c r="K10" s="18"/>
      <c r="L10" s="18"/>
      <c r="M10" s="18"/>
      <c r="N10" s="19"/>
      <c r="O10" s="18"/>
      <c r="P10" s="102"/>
      <c r="Q10" s="19"/>
      <c r="R10" s="25"/>
      <c r="S10" s="67">
        <f>SUM(D10:R10)</f>
        <v>0</v>
      </c>
    </row>
    <row r="11" spans="1:21" ht="15.75" thickBot="1" x14ac:dyDescent="0.3">
      <c r="A11" s="82" t="s">
        <v>22</v>
      </c>
      <c r="B11" s="39"/>
      <c r="C11" s="40"/>
      <c r="D11" s="130"/>
      <c r="E11" s="88"/>
      <c r="F11" s="42"/>
      <c r="G11" s="42"/>
      <c r="H11" s="88"/>
      <c r="I11" s="42"/>
      <c r="J11" s="42"/>
      <c r="K11" s="42"/>
      <c r="L11" s="88"/>
      <c r="M11" s="42"/>
      <c r="N11" s="42"/>
      <c r="O11" s="42"/>
      <c r="P11" s="131"/>
      <c r="Q11" s="42"/>
      <c r="R11" s="42"/>
      <c r="S11" s="103">
        <f>SUM(D11:R11)</f>
        <v>0</v>
      </c>
    </row>
    <row r="12" spans="1:21" x14ac:dyDescent="0.25">
      <c r="A12" s="2"/>
      <c r="B12" s="2"/>
      <c r="C12" s="2"/>
      <c r="D12" s="2"/>
      <c r="E12" s="2"/>
      <c r="F12" s="51"/>
      <c r="G12" s="2"/>
      <c r="H12" s="2"/>
      <c r="I12" s="2"/>
      <c r="J12" s="2"/>
      <c r="K12" s="2"/>
      <c r="L12" s="2"/>
      <c r="M12" s="77"/>
      <c r="N12" s="2"/>
      <c r="O12" s="2"/>
      <c r="P12" s="2"/>
      <c r="Q12" s="2"/>
      <c r="R12" s="2"/>
      <c r="S12" s="50"/>
    </row>
    <row r="13" spans="1:21" x14ac:dyDescent="0.25">
      <c r="A13" s="2"/>
      <c r="B13" s="2"/>
      <c r="C13" s="2"/>
      <c r="D13" s="2"/>
      <c r="E13" s="2"/>
      <c r="F13" s="51"/>
      <c r="G13" s="2"/>
      <c r="H13" s="2"/>
      <c r="I13" s="2"/>
      <c r="J13" s="2"/>
      <c r="K13" s="2"/>
      <c r="L13" s="2"/>
      <c r="M13" s="2"/>
      <c r="N13" s="47"/>
      <c r="O13" s="47"/>
      <c r="P13" s="47"/>
      <c r="Q13" s="47"/>
      <c r="R13" s="2"/>
      <c r="S13" s="50"/>
    </row>
    <row r="14" spans="1:21" x14ac:dyDescent="0.25">
      <c r="A14" s="2"/>
      <c r="B14" s="2"/>
      <c r="C14" s="2"/>
      <c r="D14" s="2"/>
      <c r="E14" s="2"/>
      <c r="F14" s="5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1" s="52" customFormat="1" x14ac:dyDescent="0.25">
      <c r="A15" s="52" t="s">
        <v>34</v>
      </c>
    </row>
    <row r="16" spans="1:21" s="53" customFormat="1" x14ac:dyDescent="0.25">
      <c r="A16" s="53" t="s">
        <v>35</v>
      </c>
    </row>
  </sheetData>
  <sortState ref="B3:S11">
    <sortCondition descending="1" ref="S3"/>
  </sortState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Férfi Elit</vt:lpstr>
      <vt:lpstr>Női Elit</vt:lpstr>
      <vt:lpstr>N14</vt:lpstr>
      <vt:lpstr>F14</vt:lpstr>
      <vt:lpstr>N15-17</vt:lpstr>
      <vt:lpstr>F15-17</vt:lpstr>
      <vt:lpstr>N18-20</vt:lpstr>
      <vt:lpstr>F18-20</vt:lpstr>
      <vt:lpstr>N21B</vt:lpstr>
      <vt:lpstr>F21B</vt:lpstr>
      <vt:lpstr>N40</vt:lpstr>
      <vt:lpstr>F40</vt:lpstr>
      <vt:lpstr>N50</vt:lpstr>
      <vt:lpstr>F50</vt:lpstr>
      <vt:lpstr>F60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2015-10-05T14:47:48Z</dcterms:created>
  <dcterms:modified xsi:type="dcterms:W3CDTF">2017-04-05T13:39:54Z</dcterms:modified>
</cp:coreProperties>
</file>