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ERÉKPÁR\2016\MTBO\PONTVERSENY\"/>
    </mc:Choice>
  </mc:AlternateContent>
  <bookViews>
    <workbookView xWindow="0" yWindow="0" windowWidth="9270" windowHeight="7050" tabRatio="801"/>
  </bookViews>
  <sheets>
    <sheet name="Férfi Elit" sheetId="1" r:id="rId1"/>
    <sheet name="Női Elit" sheetId="2" r:id="rId2"/>
    <sheet name="N14" sheetId="3" r:id="rId3"/>
    <sheet name="F14" sheetId="4" r:id="rId4"/>
    <sheet name="N15-17" sheetId="5" r:id="rId5"/>
    <sheet name="F15-17" sheetId="6" r:id="rId6"/>
    <sheet name="N18-20" sheetId="7" r:id="rId7"/>
    <sheet name="F18-20" sheetId="8" r:id="rId8"/>
    <sheet name="N21B" sheetId="9" r:id="rId9"/>
    <sheet name="F21B" sheetId="10" r:id="rId10"/>
    <sheet name="N40" sheetId="11" r:id="rId11"/>
    <sheet name="F40" sheetId="12" r:id="rId12"/>
    <sheet name="N50" sheetId="13" r:id="rId13"/>
    <sheet name="F50" sheetId="14" r:id="rId14"/>
    <sheet name="F60" sheetId="15" r:id="rId1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5" i="12" l="1"/>
  <c r="T3" i="10"/>
  <c r="T3" i="2"/>
  <c r="K7" i="11"/>
  <c r="K5" i="11"/>
  <c r="K3" i="11"/>
  <c r="K6" i="11"/>
  <c r="K5" i="9"/>
  <c r="K3" i="9"/>
  <c r="K4" i="9"/>
  <c r="K3" i="7"/>
  <c r="K3" i="5"/>
  <c r="K5" i="15"/>
  <c r="K4" i="15"/>
  <c r="K6" i="14"/>
  <c r="K7" i="14"/>
  <c r="K5" i="14"/>
  <c r="K3" i="14"/>
  <c r="K15" i="12"/>
  <c r="K4" i="12"/>
  <c r="K6" i="12"/>
  <c r="K7" i="12"/>
  <c r="K8" i="12"/>
  <c r="K10" i="12"/>
  <c r="K3" i="12"/>
  <c r="K11" i="10"/>
  <c r="K7" i="10"/>
  <c r="K10" i="10"/>
  <c r="K6" i="10"/>
  <c r="K3" i="10"/>
  <c r="K8" i="10"/>
  <c r="K4" i="10"/>
  <c r="K3" i="8"/>
  <c r="K5" i="8"/>
  <c r="K11" i="4"/>
  <c r="K8" i="4"/>
  <c r="K3" i="4"/>
  <c r="K4" i="4"/>
  <c r="K6" i="2"/>
  <c r="K4" i="2"/>
  <c r="K5" i="2"/>
  <c r="K3" i="2"/>
  <c r="K5" i="1"/>
  <c r="K10" i="1"/>
  <c r="K13" i="1"/>
  <c r="K12" i="1"/>
  <c r="K9" i="1"/>
  <c r="K3" i="1"/>
  <c r="K4" i="1"/>
  <c r="K6" i="1"/>
  <c r="J5" i="11" l="1"/>
  <c r="J7" i="11"/>
  <c r="J6" i="11"/>
  <c r="J3" i="11"/>
  <c r="J8" i="11"/>
  <c r="J3" i="9"/>
  <c r="J5" i="9"/>
  <c r="J4" i="9"/>
  <c r="J3" i="3"/>
  <c r="J6" i="15"/>
  <c r="J3" i="15"/>
  <c r="J5" i="15"/>
  <c r="J4" i="15"/>
  <c r="J7" i="14"/>
  <c r="J3" i="14"/>
  <c r="J17" i="12"/>
  <c r="J4" i="12"/>
  <c r="J12" i="12"/>
  <c r="J7" i="12"/>
  <c r="J10" i="12"/>
  <c r="J11" i="10"/>
  <c r="J10" i="10"/>
  <c r="J7" i="10"/>
  <c r="J3" i="10"/>
  <c r="J6" i="10"/>
  <c r="J4" i="10"/>
  <c r="J8" i="10"/>
  <c r="J7" i="8"/>
  <c r="J6" i="8"/>
  <c r="J5" i="8"/>
  <c r="J3" i="8"/>
  <c r="T4" i="4"/>
  <c r="T9" i="4"/>
  <c r="T10" i="4"/>
  <c r="T11" i="4"/>
  <c r="J8" i="4"/>
  <c r="J7" i="4"/>
  <c r="J10" i="4"/>
  <c r="J9" i="4"/>
  <c r="J6" i="4"/>
  <c r="J3" i="4"/>
  <c r="J4" i="4"/>
  <c r="J6" i="2"/>
  <c r="J4" i="2"/>
  <c r="J3" i="2"/>
  <c r="J5" i="2"/>
  <c r="J15" i="1"/>
  <c r="J4" i="1"/>
  <c r="J5" i="1"/>
  <c r="J6" i="1"/>
  <c r="J13" i="1"/>
  <c r="J10" i="1"/>
  <c r="J12" i="1"/>
  <c r="J11" i="1"/>
  <c r="J8" i="1"/>
  <c r="J3" i="1"/>
  <c r="I3" i="13" l="1"/>
  <c r="I4" i="11"/>
  <c r="I3" i="9"/>
  <c r="I3" i="15"/>
  <c r="I9" i="14"/>
  <c r="I8" i="14"/>
  <c r="I6" i="14"/>
  <c r="I7" i="14"/>
  <c r="I3" i="14"/>
  <c r="I4" i="14"/>
  <c r="I16" i="12"/>
  <c r="I6" i="12"/>
  <c r="I4" i="12"/>
  <c r="I7" i="12"/>
  <c r="I11" i="12"/>
  <c r="I3" i="12"/>
  <c r="I9" i="12"/>
  <c r="I3" i="10"/>
  <c r="I6" i="10"/>
  <c r="I4" i="10"/>
  <c r="I5" i="10"/>
  <c r="I4" i="8"/>
  <c r="I3" i="8"/>
  <c r="I4" i="6"/>
  <c r="I3" i="6"/>
  <c r="T3" i="4"/>
  <c r="T5" i="4"/>
  <c r="T8" i="4"/>
  <c r="I3" i="4"/>
  <c r="I5" i="4"/>
  <c r="I3" i="2"/>
  <c r="I4" i="1"/>
  <c r="I5" i="1"/>
  <c r="I9" i="1"/>
  <c r="T5" i="13" l="1"/>
  <c r="H5" i="13"/>
  <c r="H3" i="13"/>
  <c r="H4" i="11"/>
  <c r="H5" i="9"/>
  <c r="H3" i="9"/>
  <c r="H3" i="5"/>
  <c r="H6" i="15"/>
  <c r="H13" i="14"/>
  <c r="H9" i="14"/>
  <c r="H6" i="14"/>
  <c r="H8" i="14"/>
  <c r="H10" i="14"/>
  <c r="H4" i="14"/>
  <c r="H3" i="14"/>
  <c r="H4" i="12"/>
  <c r="H6" i="12"/>
  <c r="H14" i="12"/>
  <c r="H7" i="12"/>
  <c r="H13" i="12"/>
  <c r="H11" i="12"/>
  <c r="H5" i="12"/>
  <c r="H3" i="12"/>
  <c r="H9" i="12"/>
  <c r="H3" i="10"/>
  <c r="H4" i="10"/>
  <c r="H6" i="10"/>
  <c r="H5" i="10"/>
  <c r="H4" i="8"/>
  <c r="H3" i="8"/>
  <c r="H4" i="6"/>
  <c r="H3" i="6"/>
  <c r="H8" i="4"/>
  <c r="H5" i="4"/>
  <c r="H3" i="4"/>
  <c r="H10" i="2"/>
  <c r="H4" i="2"/>
  <c r="H3" i="2"/>
  <c r="H4" i="1"/>
  <c r="H5" i="1"/>
  <c r="H3" i="1"/>
  <c r="H7" i="1"/>
  <c r="H9" i="1"/>
  <c r="F4" i="13" l="1"/>
  <c r="F5" i="11"/>
  <c r="F3" i="11"/>
  <c r="G6" i="1"/>
  <c r="F6" i="1"/>
  <c r="G9" i="14" l="1"/>
  <c r="G3" i="6" l="1"/>
  <c r="G3" i="13"/>
  <c r="G3" i="5"/>
  <c r="G3" i="2"/>
  <c r="G3" i="15"/>
  <c r="G7" i="15"/>
  <c r="G6" i="14"/>
  <c r="G8" i="14"/>
  <c r="G3" i="14"/>
  <c r="G11" i="14"/>
  <c r="G4" i="14"/>
  <c r="G5" i="12"/>
  <c r="G3" i="12"/>
  <c r="G12" i="10"/>
  <c r="G3" i="10"/>
  <c r="G9" i="10"/>
  <c r="G3" i="8"/>
  <c r="G3" i="1"/>
  <c r="G7" i="1"/>
  <c r="F3" i="5"/>
  <c r="F3" i="2"/>
  <c r="F3" i="15"/>
  <c r="F6" i="14" l="1"/>
  <c r="F3" i="14"/>
  <c r="F5" i="14"/>
  <c r="F4" i="14"/>
  <c r="F4" i="12"/>
  <c r="F5" i="12"/>
  <c r="F3" i="12"/>
  <c r="F3" i="10"/>
  <c r="F9" i="10"/>
  <c r="F5" i="10"/>
  <c r="F8" i="10"/>
  <c r="F4" i="8"/>
  <c r="F3" i="8"/>
  <c r="F3" i="1"/>
  <c r="F7" i="1"/>
  <c r="E5" i="9" l="1"/>
  <c r="E3" i="9"/>
  <c r="E4" i="9"/>
  <c r="E6" i="9"/>
  <c r="E4" i="2"/>
  <c r="E9" i="2"/>
  <c r="E8" i="2"/>
  <c r="E7" i="2"/>
  <c r="E3" i="2"/>
  <c r="E6" i="15"/>
  <c r="E3" i="15"/>
  <c r="T3" i="15"/>
  <c r="T7" i="15"/>
  <c r="E12" i="14"/>
  <c r="E3" i="14"/>
  <c r="E5" i="14"/>
  <c r="E4" i="14"/>
  <c r="E4" i="12"/>
  <c r="E6" i="12"/>
  <c r="E8" i="12"/>
  <c r="E6" i="4"/>
  <c r="E7" i="4"/>
  <c r="E7" i="10"/>
  <c r="E4" i="10"/>
  <c r="E3" i="10"/>
  <c r="E5" i="10"/>
  <c r="E14" i="1"/>
  <c r="E5" i="1"/>
  <c r="E4" i="1"/>
  <c r="E10" i="1"/>
  <c r="E8" i="1"/>
  <c r="E3" i="1"/>
  <c r="E11" i="1"/>
  <c r="T11" i="1"/>
  <c r="T3" i="5"/>
  <c r="D3" i="5"/>
  <c r="T4" i="9"/>
  <c r="D4" i="9"/>
  <c r="D3" i="2"/>
  <c r="D4" i="2"/>
  <c r="D5" i="2"/>
  <c r="T4" i="14"/>
  <c r="D5" i="14"/>
  <c r="T5" i="14" s="1"/>
  <c r="D10" i="14"/>
  <c r="D4" i="14"/>
  <c r="T9" i="10"/>
  <c r="T5" i="10"/>
  <c r="T8" i="10"/>
  <c r="T5" i="1"/>
  <c r="T10" i="1"/>
  <c r="T4" i="1"/>
  <c r="T8" i="1"/>
  <c r="T3" i="1"/>
  <c r="T4" i="12"/>
  <c r="T3" i="12"/>
  <c r="T5" i="12"/>
  <c r="T6" i="12"/>
  <c r="T8" i="12"/>
  <c r="D4" i="12"/>
  <c r="D6" i="12"/>
  <c r="D8" i="12"/>
  <c r="D3" i="12"/>
  <c r="D5" i="12"/>
  <c r="D7" i="10"/>
  <c r="D3" i="10"/>
  <c r="D4" i="10"/>
  <c r="D5" i="10"/>
  <c r="D4" i="1"/>
  <c r="D8" i="1"/>
  <c r="D3" i="1"/>
  <c r="T9" i="11" l="1"/>
  <c r="T5" i="9" l="1"/>
  <c r="T7" i="11"/>
  <c r="T10" i="11"/>
  <c r="T7" i="14"/>
  <c r="T7" i="6"/>
  <c r="T20" i="1"/>
  <c r="T10" i="10"/>
  <c r="T5" i="15"/>
  <c r="T11" i="14"/>
  <c r="T14" i="14"/>
  <c r="T17" i="12"/>
  <c r="T6" i="6"/>
  <c r="T5" i="6"/>
  <c r="T6" i="15" l="1"/>
  <c r="T8" i="15"/>
  <c r="T4" i="15"/>
  <c r="T9" i="14"/>
  <c r="T13" i="14"/>
  <c r="T8" i="14"/>
  <c r="T12" i="14"/>
  <c r="T10" i="14"/>
  <c r="T6" i="14"/>
  <c r="T4" i="13"/>
  <c r="T3" i="13"/>
  <c r="T18" i="12"/>
  <c r="T12" i="12"/>
  <c r="T10" i="12"/>
  <c r="T16" i="12"/>
  <c r="T14" i="12"/>
  <c r="T11" i="11"/>
  <c r="T3" i="11"/>
  <c r="T18" i="10"/>
  <c r="T17" i="10"/>
  <c r="T16" i="10"/>
  <c r="T15" i="10"/>
  <c r="T14" i="10"/>
  <c r="T13" i="10"/>
  <c r="T11" i="10"/>
  <c r="T4" i="10"/>
  <c r="T7" i="10"/>
  <c r="T6" i="10"/>
  <c r="T12" i="10"/>
  <c r="T9" i="8"/>
  <c r="T8" i="8"/>
  <c r="T7" i="8"/>
  <c r="T6" i="8"/>
  <c r="T5" i="8"/>
  <c r="T3" i="8"/>
  <c r="T4" i="8"/>
  <c r="T8" i="6"/>
  <c r="T4" i="6"/>
  <c r="T6" i="5"/>
  <c r="T5" i="5"/>
  <c r="T4" i="5"/>
  <c r="T6" i="4"/>
  <c r="T7" i="4"/>
  <c r="T4" i="3"/>
  <c r="T6" i="2"/>
  <c r="T10" i="2"/>
  <c r="T9" i="2"/>
  <c r="T8" i="2"/>
  <c r="T4" i="2"/>
  <c r="T19" i="1"/>
  <c r="T18" i="1"/>
  <c r="T17" i="1"/>
  <c r="T15" i="1"/>
  <c r="T13" i="1"/>
  <c r="T6" i="1"/>
  <c r="T12" i="1"/>
  <c r="T9" i="1"/>
  <c r="T7" i="1"/>
  <c r="T16" i="1"/>
  <c r="T14" i="1"/>
  <c r="T6" i="11" l="1"/>
  <c r="T5" i="11"/>
  <c r="T4" i="11"/>
  <c r="T3" i="14"/>
  <c r="T11" i="12"/>
  <c r="T9" i="12"/>
  <c r="T13" i="12"/>
  <c r="T7" i="12"/>
  <c r="T8" i="11"/>
  <c r="T3" i="9"/>
  <c r="T6" i="9"/>
  <c r="T3" i="7"/>
  <c r="T3" i="6"/>
  <c r="T3" i="3"/>
  <c r="T5" i="2"/>
  <c r="T7" i="2"/>
</calcChain>
</file>

<file path=xl/sharedStrings.xml><?xml version="1.0" encoding="utf-8"?>
<sst xmlns="http://schemas.openxmlformats.org/spreadsheetml/2006/main" count="553" uniqueCount="145">
  <si>
    <t>hely</t>
  </si>
  <si>
    <t>név</t>
  </si>
  <si>
    <t>klub</t>
  </si>
  <si>
    <t>Össz pont</t>
  </si>
  <si>
    <t>1.</t>
  </si>
  <si>
    <t>MSE</t>
  </si>
  <si>
    <t>2.</t>
  </si>
  <si>
    <t>SAS</t>
  </si>
  <si>
    <t>3.</t>
  </si>
  <si>
    <t>Bedő Csaba</t>
  </si>
  <si>
    <t>BSC/VKE-Nelson</t>
  </si>
  <si>
    <t>4.</t>
  </si>
  <si>
    <t>"</t>
  </si>
  <si>
    <t>5.</t>
  </si>
  <si>
    <t>KFK</t>
  </si>
  <si>
    <t>6.</t>
  </si>
  <si>
    <t>Tamás Tibor</t>
  </si>
  <si>
    <t>DTC/Freeriderz SC</t>
  </si>
  <si>
    <t>7.</t>
  </si>
  <si>
    <t>DTC</t>
  </si>
  <si>
    <t>8.</t>
  </si>
  <si>
    <t>Domán Rajmund</t>
  </si>
  <si>
    <t>THT</t>
  </si>
  <si>
    <t>9.</t>
  </si>
  <si>
    <t>Fekete Ágoston</t>
  </si>
  <si>
    <t>ZTC</t>
  </si>
  <si>
    <t>10.</t>
  </si>
  <si>
    <t>11.</t>
  </si>
  <si>
    <t>Viraszkó Zoltán</t>
  </si>
  <si>
    <t>12.</t>
  </si>
  <si>
    <t>Máthé Tamás</t>
  </si>
  <si>
    <t>13.</t>
  </si>
  <si>
    <t>14.</t>
  </si>
  <si>
    <t>15.</t>
  </si>
  <si>
    <t>16.</t>
  </si>
  <si>
    <t>17.</t>
  </si>
  <si>
    <t>Kieső pontok</t>
  </si>
  <si>
    <t>" részt vett a versenyen de vagy hibapontos, vagy már negatív pontszáma van</t>
  </si>
  <si>
    <t>Füzy Anna</t>
  </si>
  <si>
    <t>OSC</t>
  </si>
  <si>
    <t>Pénzes Erzsébet</t>
  </si>
  <si>
    <t>Kinde Vanda</t>
  </si>
  <si>
    <t>SPA</t>
  </si>
  <si>
    <t>Benke Noémi</t>
  </si>
  <si>
    <t>Tamás Bianka</t>
  </si>
  <si>
    <t>Marosffy Orsolya</t>
  </si>
  <si>
    <t>Jordán Soma</t>
  </si>
  <si>
    <t>Horváth Adrienn</t>
  </si>
  <si>
    <t>MAF</t>
  </si>
  <si>
    <t>Vajda-Kovács Ágnes</t>
  </si>
  <si>
    <t>Vajda Péter</t>
  </si>
  <si>
    <t>Kárpáti Gábor</t>
  </si>
  <si>
    <t>Kinde Kálmán</t>
  </si>
  <si>
    <t>Lindenberger Béla</t>
  </si>
  <si>
    <t>EK</t>
  </si>
  <si>
    <t>Hidas Zoltán</t>
  </si>
  <si>
    <t>TTE</t>
  </si>
  <si>
    <t>Molnár Attila</t>
  </si>
  <si>
    <t>Zoboki Mihály</t>
  </si>
  <si>
    <t xml:space="preserve">Dankó István </t>
  </si>
  <si>
    <t>Jankó Tamás</t>
  </si>
  <si>
    <t>HSE</t>
  </si>
  <si>
    <t>Mets Miklós</t>
  </si>
  <si>
    <t>Domán Gábor</t>
  </si>
  <si>
    <t>Dosek Ágoston</t>
  </si>
  <si>
    <t>Bunyik László</t>
  </si>
  <si>
    <t>MEA</t>
  </si>
  <si>
    <t>Hidas Sándor</t>
  </si>
  <si>
    <t>18.</t>
  </si>
  <si>
    <t>Magyar Kupa 2016</t>
  </si>
  <si>
    <t>Magyar kupa normáltáv Dunaszentmiklós 04.09.</t>
  </si>
  <si>
    <t>Magyar Pontbegyűjtő Bajnokság Tata 04.10</t>
  </si>
  <si>
    <t>Köllőd Róbert</t>
  </si>
  <si>
    <t>Gyöngyösi Kevin</t>
  </si>
  <si>
    <t>KSI Csepel SE</t>
  </si>
  <si>
    <t>Alpár Domonkos</t>
  </si>
  <si>
    <t>Kiss Bertalan András</t>
  </si>
  <si>
    <t>SZT</t>
  </si>
  <si>
    <t>Cseh Veronika</t>
  </si>
  <si>
    <t>Hidas-Mészáros Eszter</t>
  </si>
  <si>
    <t>Osztrák-Magyar kupa sprint Blumau 04.30.</t>
  </si>
  <si>
    <t>Osztrák-Magyar kupa hosszútáv Katzeldorf 05.01.</t>
  </si>
  <si>
    <t>Rózsa László</t>
  </si>
  <si>
    <t>Allwinger Herwig</t>
  </si>
  <si>
    <t>Mesics Péter</t>
  </si>
  <si>
    <t>SMA</t>
  </si>
  <si>
    <t>Horváth Pál</t>
  </si>
  <si>
    <t>Molnár Tibor</t>
  </si>
  <si>
    <t>Boros Zoltán</t>
  </si>
  <si>
    <t>Tömördi Ágnes</t>
  </si>
  <si>
    <t>Mesics Mátyás</t>
  </si>
  <si>
    <t>Szabó Tamás</t>
  </si>
  <si>
    <t>Tóth Zoltán</t>
  </si>
  <si>
    <t>Török Lavinia</t>
  </si>
  <si>
    <t>Resch Judit</t>
  </si>
  <si>
    <t>Hidegkút kupa hosszútáv         Hidegkút 07.04.</t>
  </si>
  <si>
    <t>Hidegkút kupa középtáv         Hidegkút 07.03.</t>
  </si>
  <si>
    <t>Beöthy Ádám</t>
  </si>
  <si>
    <t>Molnár Botond</t>
  </si>
  <si>
    <t>Mesics Bnotond</t>
  </si>
  <si>
    <t>Kinde Márk</t>
  </si>
  <si>
    <t>Magyar Pontbegyűjtő Bajnokság        Tata 04.10</t>
  </si>
  <si>
    <t>Osztrák-Magyar kupa sprint         Blumau 04.30.</t>
  </si>
  <si>
    <t>Fekete Sámuel</t>
  </si>
  <si>
    <t>Osztrák-Magyar kupa sprint       Blumau 04.30.</t>
  </si>
  <si>
    <t>Csordás Kornél</t>
  </si>
  <si>
    <t>REHAB</t>
  </si>
  <si>
    <t>Marosffy Dániel</t>
  </si>
  <si>
    <t>Bobok Gábor</t>
  </si>
  <si>
    <t>Nagy András</t>
  </si>
  <si>
    <t>Dankó Zoltán</t>
  </si>
  <si>
    <t>Kiss Gábor</t>
  </si>
  <si>
    <t>Balázs Ottó</t>
  </si>
  <si>
    <t>Osztrák-Magyar kupa sprint      Blumau 04.30.</t>
  </si>
  <si>
    <t>Krasznai Orsolya</t>
  </si>
  <si>
    <t>Tóth Gergely</t>
  </si>
  <si>
    <t>Magyar Rövidtávú Bajnokság Felsőörs 08.20</t>
  </si>
  <si>
    <t>Pannon középtáv                       Felsőörs 08.21</t>
  </si>
  <si>
    <t>Kirilla Péter</t>
  </si>
  <si>
    <t>Szundi Attila</t>
  </si>
  <si>
    <t>Vajda Zsolt</t>
  </si>
  <si>
    <t>Baumann Viola</t>
  </si>
  <si>
    <t>Gárdonyi Soma</t>
  </si>
  <si>
    <t>MOM</t>
  </si>
  <si>
    <t>Sarkadi Lehel</t>
  </si>
  <si>
    <t>Szandi Bence</t>
  </si>
  <si>
    <t>Magyar Rövidtávú Bajnokság      Felsőörs 08.20</t>
  </si>
  <si>
    <t>Zoboki Péter</t>
  </si>
  <si>
    <t>Kovács Eszter</t>
  </si>
  <si>
    <t>VKE Nelson</t>
  </si>
  <si>
    <t>Lancsár Roland</t>
  </si>
  <si>
    <t>Szabó Gábor</t>
  </si>
  <si>
    <t>Szandi Péter</t>
  </si>
  <si>
    <t>Kovács Zoltán</t>
  </si>
  <si>
    <t>Szabó Csaba</t>
  </si>
  <si>
    <t>Eberle Wolf</t>
  </si>
  <si>
    <t>Kiss Zoltán</t>
  </si>
  <si>
    <t>Sarkadi Borbála</t>
  </si>
  <si>
    <t>Koczka Gabriella</t>
  </si>
  <si>
    <t>Allwinger Tünde</t>
  </si>
  <si>
    <t>Tüdős Éva</t>
  </si>
  <si>
    <t>Szabóné Erős Gabriella</t>
  </si>
  <si>
    <t>Tamás Bence</t>
  </si>
  <si>
    <t>Mörk Péter</t>
  </si>
  <si>
    <t>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</si>
</sst>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charset val="238"/>
      <scheme val="minor"/>
    </font>
    <font>
      <b/>
      <sz val="26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strike/>
      <sz val="11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00B0F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1" fillId="0" borderId="4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Fill="1"/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textRotation="180" wrapText="1"/>
    </xf>
    <xf numFmtId="0" fontId="2" fillId="0" borderId="9" xfId="0" applyFont="1" applyFill="1" applyBorder="1" applyAlignment="1">
      <alignment horizontal="center" vertical="center" textRotation="180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textRotation="180" wrapText="1"/>
    </xf>
    <xf numFmtId="0" fontId="0" fillId="0" borderId="0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3" fillId="0" borderId="11" xfId="0" applyFont="1" applyFill="1" applyBorder="1"/>
    <xf numFmtId="0" fontId="0" fillId="0" borderId="12" xfId="0" applyFill="1" applyBorder="1"/>
    <xf numFmtId="0" fontId="0" fillId="0" borderId="13" xfId="0" applyFill="1" applyBorder="1"/>
    <xf numFmtId="2" fontId="0" fillId="0" borderId="14" xfId="0" applyNumberFormat="1" applyFill="1" applyBorder="1"/>
    <xf numFmtId="2" fontId="0" fillId="0" borderId="15" xfId="0" applyNumberFormat="1" applyFill="1" applyBorder="1"/>
    <xf numFmtId="2" fontId="0" fillId="0" borderId="10" xfId="0" applyNumberFormat="1" applyFill="1" applyBorder="1"/>
    <xf numFmtId="2" fontId="0" fillId="0" borderId="16" xfId="0" applyNumberFormat="1" applyFill="1" applyBorder="1"/>
    <xf numFmtId="2" fontId="3" fillId="0" borderId="11" xfId="0" applyNumberFormat="1" applyFont="1" applyFill="1" applyBorder="1"/>
    <xf numFmtId="0" fontId="0" fillId="0" borderId="10" xfId="0" applyFill="1" applyBorder="1"/>
    <xf numFmtId="0" fontId="3" fillId="0" borderId="17" xfId="0" applyFont="1" applyFill="1" applyBorder="1"/>
    <xf numFmtId="0" fontId="0" fillId="0" borderId="18" xfId="0" applyFill="1" applyBorder="1"/>
    <xf numFmtId="0" fontId="0" fillId="0" borderId="19" xfId="0" applyFill="1" applyBorder="1"/>
    <xf numFmtId="2" fontId="0" fillId="0" borderId="20" xfId="0" applyNumberFormat="1" applyFill="1" applyBorder="1"/>
    <xf numFmtId="2" fontId="3" fillId="0" borderId="17" xfId="0" applyNumberFormat="1" applyFont="1" applyFill="1" applyBorder="1"/>
    <xf numFmtId="2" fontId="0" fillId="0" borderId="21" xfId="0" applyNumberFormat="1" applyFill="1" applyBorder="1"/>
    <xf numFmtId="2" fontId="5" fillId="0" borderId="16" xfId="0" applyNumberFormat="1" applyFont="1" applyFill="1" applyBorder="1"/>
    <xf numFmtId="2" fontId="0" fillId="0" borderId="22" xfId="0" applyNumberFormat="1" applyFill="1" applyBorder="1"/>
    <xf numFmtId="0" fontId="3" fillId="0" borderId="16" xfId="0" applyFont="1" applyFill="1" applyBorder="1" applyAlignment="1">
      <alignment horizontal="right"/>
    </xf>
    <xf numFmtId="2" fontId="0" fillId="0" borderId="18" xfId="0" applyNumberFormat="1" applyFill="1" applyBorder="1"/>
    <xf numFmtId="0" fontId="0" fillId="0" borderId="24" xfId="0" applyFill="1" applyBorder="1"/>
    <xf numFmtId="0" fontId="0" fillId="0" borderId="16" xfId="0" applyFill="1" applyBorder="1"/>
    <xf numFmtId="2" fontId="5" fillId="0" borderId="10" xfId="0" applyNumberFormat="1" applyFont="1" applyFill="1" applyBorder="1"/>
    <xf numFmtId="0" fontId="0" fillId="0" borderId="26" xfId="0" applyFill="1" applyBorder="1"/>
    <xf numFmtId="2" fontId="0" fillId="0" borderId="26" xfId="0" applyNumberFormat="1" applyFill="1" applyBorder="1"/>
    <xf numFmtId="0" fontId="3" fillId="0" borderId="10" xfId="0" applyFont="1" applyFill="1" applyBorder="1" applyAlignment="1">
      <alignment horizontal="right"/>
    </xf>
    <xf numFmtId="0" fontId="5" fillId="0" borderId="10" xfId="0" applyFont="1" applyFill="1" applyBorder="1"/>
    <xf numFmtId="0" fontId="3" fillId="0" borderId="27" xfId="0" applyFont="1" applyFill="1" applyBorder="1"/>
    <xf numFmtId="0" fontId="0" fillId="0" borderId="28" xfId="0" applyFill="1" applyBorder="1"/>
    <xf numFmtId="0" fontId="0" fillId="0" borderId="29" xfId="0" applyFill="1" applyBorder="1"/>
    <xf numFmtId="2" fontId="0" fillId="0" borderId="30" xfId="0" applyNumberFormat="1" applyFill="1" applyBorder="1"/>
    <xf numFmtId="2" fontId="0" fillId="0" borderId="31" xfId="0" applyNumberFormat="1" applyFill="1" applyBorder="1"/>
    <xf numFmtId="2" fontId="5" fillId="0" borderId="31" xfId="0" applyNumberFormat="1" applyFont="1" applyFill="1" applyBorder="1"/>
    <xf numFmtId="0" fontId="3" fillId="0" borderId="31" xfId="0" applyFont="1" applyFill="1" applyBorder="1" applyAlignment="1">
      <alignment horizontal="right"/>
    </xf>
    <xf numFmtId="2" fontId="0" fillId="0" borderId="32" xfId="0" applyNumberFormat="1" applyFill="1" applyBorder="1"/>
    <xf numFmtId="2" fontId="0" fillId="0" borderId="33" xfId="0" applyNumberFormat="1" applyFill="1" applyBorder="1"/>
    <xf numFmtId="2" fontId="3" fillId="0" borderId="27" xfId="0" applyNumberFormat="1" applyFont="1" applyFill="1" applyBorder="1"/>
    <xf numFmtId="2" fontId="0" fillId="0" borderId="0" xfId="0" applyNumberFormat="1" applyFill="1" applyBorder="1"/>
    <xf numFmtId="2" fontId="5" fillId="0" borderId="0" xfId="0" applyNumberFormat="1" applyFont="1" applyFill="1" applyBorder="1"/>
    <xf numFmtId="2" fontId="0" fillId="0" borderId="0" xfId="0" applyNumberFormat="1" applyFill="1" applyBorder="1" applyAlignment="1">
      <alignment horizontal="right"/>
    </xf>
    <xf numFmtId="2" fontId="3" fillId="0" borderId="0" xfId="0" applyNumberFormat="1" applyFont="1" applyFill="1" applyBorder="1"/>
    <xf numFmtId="0" fontId="5" fillId="0" borderId="0" xfId="0" applyFont="1" applyFill="1" applyBorder="1"/>
    <xf numFmtId="0" fontId="3" fillId="2" borderId="0" xfId="0" applyFont="1" applyFill="1" applyBorder="1" applyAlignment="1"/>
    <xf numFmtId="0" fontId="3" fillId="0" borderId="0" xfId="0" applyFont="1" applyFill="1" applyBorder="1" applyAlignment="1"/>
    <xf numFmtId="0" fontId="5" fillId="0" borderId="0" xfId="0" applyFont="1" applyFill="1"/>
    <xf numFmtId="0" fontId="0" fillId="0" borderId="15" xfId="0" applyFill="1" applyBorder="1"/>
    <xf numFmtId="0" fontId="0" fillId="0" borderId="20" xfId="0" applyFill="1" applyBorder="1"/>
    <xf numFmtId="0" fontId="0" fillId="0" borderId="23" xfId="0" applyFill="1" applyBorder="1"/>
    <xf numFmtId="0" fontId="3" fillId="0" borderId="20" xfId="0" applyFont="1" applyFill="1" applyBorder="1" applyAlignment="1">
      <alignment horizontal="right"/>
    </xf>
    <xf numFmtId="0" fontId="0" fillId="0" borderId="30" xfId="0" applyFill="1" applyBorder="1"/>
    <xf numFmtId="0" fontId="0" fillId="0" borderId="33" xfId="0" applyFill="1" applyBorder="1"/>
    <xf numFmtId="0" fontId="0" fillId="0" borderId="31" xfId="0" applyFill="1" applyBorder="1"/>
    <xf numFmtId="2" fontId="5" fillId="0" borderId="0" xfId="0" applyNumberFormat="1" applyFont="1" applyFill="1" applyBorder="1" applyAlignment="1">
      <alignment horizontal="right"/>
    </xf>
    <xf numFmtId="0" fontId="0" fillId="0" borderId="34" xfId="0" applyFill="1" applyBorder="1"/>
    <xf numFmtId="0" fontId="0" fillId="0" borderId="4" xfId="0" applyFill="1" applyBorder="1"/>
    <xf numFmtId="2" fontId="0" fillId="0" borderId="4" xfId="0" applyNumberFormat="1" applyFill="1" applyBorder="1"/>
    <xf numFmtId="2" fontId="5" fillId="0" borderId="4" xfId="0" applyNumberFormat="1" applyFont="1" applyFill="1" applyBorder="1" applyAlignment="1">
      <alignment horizontal="right"/>
    </xf>
    <xf numFmtId="2" fontId="3" fillId="0" borderId="4" xfId="0" applyNumberFormat="1" applyFont="1" applyFill="1" applyBorder="1"/>
    <xf numFmtId="0" fontId="1" fillId="0" borderId="0" xfId="0" applyFont="1" applyFill="1" applyBorder="1" applyAlignment="1">
      <alignment vertical="center"/>
    </xf>
    <xf numFmtId="0" fontId="3" fillId="0" borderId="26" xfId="0" applyFont="1" applyFill="1" applyBorder="1" applyAlignment="1">
      <alignment horizontal="right"/>
    </xf>
    <xf numFmtId="2" fontId="0" fillId="0" borderId="36" xfId="0" applyNumberFormat="1" applyFill="1" applyBorder="1"/>
    <xf numFmtId="2" fontId="3" fillId="0" borderId="35" xfId="0" applyNumberFormat="1" applyFont="1" applyFill="1" applyBorder="1"/>
    <xf numFmtId="0" fontId="0" fillId="0" borderId="10" xfId="0" applyFill="1" applyBorder="1" applyAlignment="1">
      <alignment horizontal="center"/>
    </xf>
    <xf numFmtId="0" fontId="5" fillId="0" borderId="20" xfId="0" applyFont="1" applyFill="1" applyBorder="1"/>
    <xf numFmtId="0" fontId="5" fillId="0" borderId="30" xfId="0" applyFont="1" applyFill="1" applyBorder="1"/>
    <xf numFmtId="0" fontId="5" fillId="0" borderId="31" xfId="0" applyFont="1" applyFill="1" applyBorder="1"/>
    <xf numFmtId="0" fontId="3" fillId="0" borderId="33" xfId="0" applyFont="1" applyFill="1" applyBorder="1" applyAlignment="1">
      <alignment horizontal="right"/>
    </xf>
    <xf numFmtId="0" fontId="0" fillId="0" borderId="38" xfId="0" applyFill="1" applyBorder="1"/>
    <xf numFmtId="0" fontId="0" fillId="0" borderId="0" xfId="0" applyFill="1" applyBorder="1" applyAlignment="1">
      <alignment horizontal="right"/>
    </xf>
    <xf numFmtId="2" fontId="0" fillId="0" borderId="39" xfId="0" applyNumberFormat="1" applyFill="1" applyBorder="1"/>
    <xf numFmtId="2" fontId="0" fillId="0" borderId="37" xfId="0" applyNumberFormat="1" applyFill="1" applyBorder="1"/>
    <xf numFmtId="0" fontId="0" fillId="0" borderId="22" xfId="0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right"/>
    </xf>
    <xf numFmtId="0" fontId="3" fillId="0" borderId="40" xfId="0" applyFont="1" applyFill="1" applyBorder="1"/>
    <xf numFmtId="0" fontId="3" fillId="0" borderId="15" xfId="0" applyFont="1" applyFill="1" applyBorder="1" applyAlignment="1">
      <alignment horizontal="right"/>
    </xf>
    <xf numFmtId="2" fontId="0" fillId="0" borderId="26" xfId="0" applyNumberFormat="1" applyFont="1" applyFill="1" applyBorder="1"/>
    <xf numFmtId="2" fontId="0" fillId="0" borderId="10" xfId="0" applyNumberFormat="1" applyFill="1" applyBorder="1" applyAlignment="1">
      <alignment horizontal="right"/>
    </xf>
    <xf numFmtId="2" fontId="0" fillId="0" borderId="19" xfId="0" applyNumberFormat="1" applyFill="1" applyBorder="1"/>
    <xf numFmtId="0" fontId="2" fillId="0" borderId="1" xfId="0" applyFont="1" applyFill="1" applyBorder="1" applyAlignment="1">
      <alignment vertical="center" wrapText="1"/>
    </xf>
    <xf numFmtId="0" fontId="3" fillId="0" borderId="21" xfId="0" applyFont="1" applyFill="1" applyBorder="1"/>
    <xf numFmtId="0" fontId="3" fillId="0" borderId="41" xfId="0" applyFont="1" applyFill="1" applyBorder="1"/>
    <xf numFmtId="0" fontId="0" fillId="0" borderId="0" xfId="0" applyFont="1" applyFill="1" applyBorder="1"/>
    <xf numFmtId="2" fontId="0" fillId="0" borderId="12" xfId="0" applyNumberFormat="1" applyFill="1" applyBorder="1"/>
    <xf numFmtId="2" fontId="0" fillId="0" borderId="13" xfId="0" applyNumberFormat="1" applyFill="1" applyBorder="1"/>
    <xf numFmtId="0" fontId="0" fillId="0" borderId="43" xfId="0" applyFill="1" applyBorder="1"/>
    <xf numFmtId="0" fontId="0" fillId="0" borderId="44" xfId="0" applyFill="1" applyBorder="1"/>
    <xf numFmtId="2" fontId="0" fillId="0" borderId="43" xfId="0" applyNumberFormat="1" applyFill="1" applyBorder="1"/>
    <xf numFmtId="2" fontId="0" fillId="0" borderId="45" xfId="0" applyNumberFormat="1" applyFill="1" applyBorder="1"/>
    <xf numFmtId="2" fontId="5" fillId="0" borderId="32" xfId="0" applyNumberFormat="1" applyFont="1" applyFill="1" applyBorder="1"/>
    <xf numFmtId="2" fontId="0" fillId="0" borderId="44" xfId="0" applyNumberFormat="1" applyFill="1" applyBorder="1"/>
    <xf numFmtId="0" fontId="3" fillId="0" borderId="14" xfId="0" applyFont="1" applyFill="1" applyBorder="1" applyAlignment="1">
      <alignment horizontal="right"/>
    </xf>
    <xf numFmtId="2" fontId="3" fillId="0" borderId="46" xfId="0" applyNumberFormat="1" applyFont="1" applyFill="1" applyBorder="1"/>
    <xf numFmtId="2" fontId="0" fillId="0" borderId="20" xfId="0" applyNumberFormat="1" applyFill="1" applyBorder="1" applyAlignment="1">
      <alignment horizontal="center"/>
    </xf>
    <xf numFmtId="2" fontId="0" fillId="0" borderId="42" xfId="0" applyNumberFormat="1" applyFill="1" applyBorder="1"/>
    <xf numFmtId="2" fontId="5" fillId="0" borderId="20" xfId="0" applyNumberFormat="1" applyFont="1" applyFill="1" applyBorder="1"/>
    <xf numFmtId="0" fontId="0" fillId="0" borderId="47" xfId="0" applyFill="1" applyBorder="1"/>
    <xf numFmtId="0" fontId="0" fillId="0" borderId="48" xfId="0" applyFill="1" applyBorder="1"/>
    <xf numFmtId="0" fontId="0" fillId="0" borderId="49" xfId="0" applyFill="1" applyBorder="1"/>
    <xf numFmtId="0" fontId="0" fillId="0" borderId="50" xfId="0" applyFill="1" applyBorder="1"/>
    <xf numFmtId="2" fontId="0" fillId="0" borderId="23" xfId="0" applyNumberFormat="1" applyFill="1" applyBorder="1"/>
    <xf numFmtId="0" fontId="0" fillId="0" borderId="51" xfId="0" applyFill="1" applyBorder="1"/>
    <xf numFmtId="0" fontId="0" fillId="0" borderId="52" xfId="0" applyFill="1" applyBorder="1"/>
    <xf numFmtId="0" fontId="0" fillId="0" borderId="53" xfId="0" applyFill="1" applyBorder="1"/>
    <xf numFmtId="2" fontId="5" fillId="0" borderId="37" xfId="0" applyNumberFormat="1" applyFont="1" applyFill="1" applyBorder="1"/>
    <xf numFmtId="2" fontId="0" fillId="0" borderId="37" xfId="0" applyNumberFormat="1" applyFill="1" applyBorder="1" applyAlignment="1">
      <alignment horizontal="center"/>
    </xf>
    <xf numFmtId="0" fontId="0" fillId="0" borderId="32" xfId="0" applyFill="1" applyBorder="1"/>
    <xf numFmtId="0" fontId="0" fillId="0" borderId="20" xfId="0" applyFill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2" fontId="0" fillId="0" borderId="45" xfId="0" applyNumberFormat="1" applyFill="1" applyBorder="1" applyAlignment="1">
      <alignment horizontal="center"/>
    </xf>
    <xf numFmtId="2" fontId="0" fillId="0" borderId="24" xfId="0" applyNumberFormat="1" applyFill="1" applyBorder="1"/>
    <xf numFmtId="0" fontId="0" fillId="0" borderId="31" xfId="0" applyFill="1" applyBorder="1" applyAlignment="1">
      <alignment horizontal="center"/>
    </xf>
    <xf numFmtId="2" fontId="3" fillId="0" borderId="54" xfId="0" applyNumberFormat="1" applyFont="1" applyFill="1" applyBorder="1"/>
    <xf numFmtId="0" fontId="3" fillId="0" borderId="1" xfId="0" applyFont="1" applyFill="1" applyBorder="1"/>
    <xf numFmtId="0" fontId="0" fillId="0" borderId="6" xfId="0" applyFill="1" applyBorder="1"/>
    <xf numFmtId="0" fontId="0" fillId="0" borderId="7" xfId="0" applyFill="1" applyBorder="1"/>
    <xf numFmtId="0" fontId="3" fillId="0" borderId="9" xfId="0" applyFont="1" applyFill="1" applyBorder="1" applyAlignment="1">
      <alignment horizontal="right"/>
    </xf>
    <xf numFmtId="2" fontId="0" fillId="0" borderId="9" xfId="0" applyNumberFormat="1" applyFill="1" applyBorder="1"/>
    <xf numFmtId="0" fontId="0" fillId="0" borderId="9" xfId="0" applyFill="1" applyBorder="1"/>
    <xf numFmtId="0" fontId="0" fillId="0" borderId="9" xfId="0" applyFont="1" applyFill="1" applyBorder="1"/>
    <xf numFmtId="0" fontId="0" fillId="0" borderId="55" xfId="0" applyFill="1" applyBorder="1"/>
    <xf numFmtId="2" fontId="3" fillId="0" borderId="5" xfId="0" applyNumberFormat="1" applyFont="1" applyFill="1" applyBorder="1"/>
    <xf numFmtId="2" fontId="5" fillId="0" borderId="30" xfId="0" applyNumberFormat="1" applyFont="1" applyFill="1" applyBorder="1"/>
    <xf numFmtId="0" fontId="0" fillId="0" borderId="56" xfId="0" applyFill="1" applyBorder="1" applyAlignment="1">
      <alignment horizontal="center"/>
    </xf>
    <xf numFmtId="2" fontId="4" fillId="0" borderId="14" xfId="0" applyNumberFormat="1" applyFont="1" applyFill="1" applyBorder="1"/>
    <xf numFmtId="2" fontId="0" fillId="0" borderId="18" xfId="0" applyNumberFormat="1" applyFill="1" applyBorder="1" applyAlignment="1">
      <alignment horizontal="center"/>
    </xf>
    <xf numFmtId="0" fontId="0" fillId="0" borderId="57" xfId="0" applyFill="1" applyBorder="1"/>
    <xf numFmtId="2" fontId="0" fillId="0" borderId="15" xfId="0" applyNumberFormat="1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5" fillId="0" borderId="16" xfId="0" applyFont="1" applyFill="1" applyBorder="1"/>
    <xf numFmtId="0" fontId="0" fillId="0" borderId="15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164" fontId="0" fillId="0" borderId="10" xfId="0" applyNumberForma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2" fontId="0" fillId="0" borderId="29" xfId="0" applyNumberFormat="1" applyFill="1" applyBorder="1"/>
    <xf numFmtId="0" fontId="2" fillId="0" borderId="2" xfId="0" applyFont="1" applyFill="1" applyBorder="1" applyAlignment="1">
      <alignment horizontal="center" vertical="center" textRotation="180" wrapText="1"/>
    </xf>
    <xf numFmtId="0" fontId="3" fillId="0" borderId="58" xfId="0" applyFont="1" applyFill="1" applyBorder="1"/>
    <xf numFmtId="0" fontId="5" fillId="0" borderId="26" xfId="0" applyFont="1" applyFill="1" applyBorder="1"/>
    <xf numFmtId="0" fontId="3" fillId="0" borderId="59" xfId="0" applyFont="1" applyFill="1" applyBorder="1"/>
    <xf numFmtId="2" fontId="0" fillId="0" borderId="52" xfId="0" applyNumberFormat="1" applyFill="1" applyBorder="1"/>
    <xf numFmtId="2" fontId="0" fillId="0" borderId="25" xfId="0" applyNumberFormat="1" applyFill="1" applyBorder="1"/>
    <xf numFmtId="2" fontId="0" fillId="0" borderId="31" xfId="0" applyNumberFormat="1" applyFill="1" applyBorder="1" applyAlignment="1">
      <alignment horizontal="center"/>
    </xf>
    <xf numFmtId="2" fontId="0" fillId="0" borderId="12" xfId="0" applyNumberFormat="1" applyFill="1" applyBorder="1" applyAlignment="1">
      <alignment horizontal="center"/>
    </xf>
    <xf numFmtId="2" fontId="0" fillId="0" borderId="57" xfId="0" applyNumberFormat="1" applyFill="1" applyBorder="1"/>
    <xf numFmtId="0" fontId="0" fillId="0" borderId="45" xfId="0" applyFill="1" applyBorder="1"/>
    <xf numFmtId="2" fontId="5" fillId="0" borderId="22" xfId="0" applyNumberFormat="1" applyFont="1" applyFill="1" applyBorder="1"/>
    <xf numFmtId="164" fontId="0" fillId="0" borderId="16" xfId="0" applyNumberFormat="1" applyFill="1" applyBorder="1" applyAlignment="1">
      <alignment horizontal="center"/>
    </xf>
    <xf numFmtId="0" fontId="0" fillId="0" borderId="36" xfId="0" applyFill="1" applyBorder="1"/>
    <xf numFmtId="164" fontId="0" fillId="0" borderId="31" xfId="0" applyNumberFormat="1" applyFill="1" applyBorder="1" applyAlignment="1">
      <alignment horizontal="center"/>
    </xf>
    <xf numFmtId="2" fontId="5" fillId="0" borderId="21" xfId="0" applyNumberFormat="1" applyFont="1" applyFill="1" applyBorder="1"/>
    <xf numFmtId="2" fontId="0" fillId="0" borderId="16" xfId="0" applyNumberFormat="1" applyFill="1" applyBorder="1" applyAlignment="1">
      <alignment horizontal="center"/>
    </xf>
    <xf numFmtId="0" fontId="3" fillId="0" borderId="30" xfId="0" applyFont="1" applyFill="1" applyBorder="1" applyAlignment="1">
      <alignment horizontal="right"/>
    </xf>
    <xf numFmtId="2" fontId="0" fillId="3" borderId="20" xfId="0" applyNumberFormat="1" applyFill="1" applyBorder="1"/>
    <xf numFmtId="2" fontId="0" fillId="3" borderId="16" xfId="0" applyNumberFormat="1" applyFill="1" applyBorder="1"/>
    <xf numFmtId="0" fontId="0" fillId="0" borderId="20" xfId="0" applyFont="1" applyFill="1" applyBorder="1"/>
    <xf numFmtId="2" fontId="0" fillId="0" borderId="22" xfId="0" applyNumberForma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5"/>
  <sheetViews>
    <sheetView tabSelected="1" workbookViewId="0">
      <selection activeCell="V10" sqref="V10"/>
    </sheetView>
  </sheetViews>
  <sheetFormatPr defaultColWidth="9" defaultRowHeight="15" x14ac:dyDescent="0.25"/>
  <cols>
    <col min="1" max="1" width="5.28515625" style="3" customWidth="1"/>
    <col min="2" max="2" width="16.28515625" style="3" customWidth="1"/>
    <col min="3" max="3" width="17.85546875" style="3" customWidth="1"/>
    <col min="4" max="5" width="9.140625" style="3" customWidth="1"/>
    <col min="6" max="6" width="9.140625" style="56" customWidth="1"/>
    <col min="7" max="20" width="9.140625" style="3" customWidth="1"/>
    <col min="21" max="35" width="9" style="2"/>
    <col min="36" max="256" width="9" style="3"/>
    <col min="257" max="257" width="5.28515625" style="3" customWidth="1"/>
    <col min="258" max="258" width="21.5703125" style="3" customWidth="1"/>
    <col min="259" max="259" width="17.85546875" style="3" customWidth="1"/>
    <col min="260" max="276" width="9.140625" style="3" customWidth="1"/>
    <col min="277" max="512" width="9" style="3"/>
    <col min="513" max="513" width="5.28515625" style="3" customWidth="1"/>
    <col min="514" max="514" width="21.5703125" style="3" customWidth="1"/>
    <col min="515" max="515" width="17.85546875" style="3" customWidth="1"/>
    <col min="516" max="532" width="9.140625" style="3" customWidth="1"/>
    <col min="533" max="768" width="9" style="3"/>
    <col min="769" max="769" width="5.28515625" style="3" customWidth="1"/>
    <col min="770" max="770" width="21.5703125" style="3" customWidth="1"/>
    <col min="771" max="771" width="17.85546875" style="3" customWidth="1"/>
    <col min="772" max="788" width="9.140625" style="3" customWidth="1"/>
    <col min="789" max="1024" width="9" style="3"/>
    <col min="1025" max="1025" width="5.28515625" style="3" customWidth="1"/>
    <col min="1026" max="1026" width="21.5703125" style="3" customWidth="1"/>
    <col min="1027" max="1027" width="17.85546875" style="3" customWidth="1"/>
    <col min="1028" max="1044" width="9.140625" style="3" customWidth="1"/>
    <col min="1045" max="1280" width="9" style="3"/>
    <col min="1281" max="1281" width="5.28515625" style="3" customWidth="1"/>
    <col min="1282" max="1282" width="21.5703125" style="3" customWidth="1"/>
    <col min="1283" max="1283" width="17.85546875" style="3" customWidth="1"/>
    <col min="1284" max="1300" width="9.140625" style="3" customWidth="1"/>
    <col min="1301" max="1536" width="9" style="3"/>
    <col min="1537" max="1537" width="5.28515625" style="3" customWidth="1"/>
    <col min="1538" max="1538" width="21.5703125" style="3" customWidth="1"/>
    <col min="1539" max="1539" width="17.85546875" style="3" customWidth="1"/>
    <col min="1540" max="1556" width="9.140625" style="3" customWidth="1"/>
    <col min="1557" max="1792" width="9" style="3"/>
    <col min="1793" max="1793" width="5.28515625" style="3" customWidth="1"/>
    <col min="1794" max="1794" width="21.5703125" style="3" customWidth="1"/>
    <col min="1795" max="1795" width="17.85546875" style="3" customWidth="1"/>
    <col min="1796" max="1812" width="9.140625" style="3" customWidth="1"/>
    <col min="1813" max="2048" width="9" style="3"/>
    <col min="2049" max="2049" width="5.28515625" style="3" customWidth="1"/>
    <col min="2050" max="2050" width="21.5703125" style="3" customWidth="1"/>
    <col min="2051" max="2051" width="17.85546875" style="3" customWidth="1"/>
    <col min="2052" max="2068" width="9.140625" style="3" customWidth="1"/>
    <col min="2069" max="2304" width="9" style="3"/>
    <col min="2305" max="2305" width="5.28515625" style="3" customWidth="1"/>
    <col min="2306" max="2306" width="21.5703125" style="3" customWidth="1"/>
    <col min="2307" max="2307" width="17.85546875" style="3" customWidth="1"/>
    <col min="2308" max="2324" width="9.140625" style="3" customWidth="1"/>
    <col min="2325" max="2560" width="9" style="3"/>
    <col min="2561" max="2561" width="5.28515625" style="3" customWidth="1"/>
    <col min="2562" max="2562" width="21.5703125" style="3" customWidth="1"/>
    <col min="2563" max="2563" width="17.85546875" style="3" customWidth="1"/>
    <col min="2564" max="2580" width="9.140625" style="3" customWidth="1"/>
    <col min="2581" max="2816" width="9" style="3"/>
    <col min="2817" max="2817" width="5.28515625" style="3" customWidth="1"/>
    <col min="2818" max="2818" width="21.5703125" style="3" customWidth="1"/>
    <col min="2819" max="2819" width="17.85546875" style="3" customWidth="1"/>
    <col min="2820" max="2836" width="9.140625" style="3" customWidth="1"/>
    <col min="2837" max="3072" width="9" style="3"/>
    <col min="3073" max="3073" width="5.28515625" style="3" customWidth="1"/>
    <col min="3074" max="3074" width="21.5703125" style="3" customWidth="1"/>
    <col min="3075" max="3075" width="17.85546875" style="3" customWidth="1"/>
    <col min="3076" max="3092" width="9.140625" style="3" customWidth="1"/>
    <col min="3093" max="3328" width="9" style="3"/>
    <col min="3329" max="3329" width="5.28515625" style="3" customWidth="1"/>
    <col min="3330" max="3330" width="21.5703125" style="3" customWidth="1"/>
    <col min="3331" max="3331" width="17.85546875" style="3" customWidth="1"/>
    <col min="3332" max="3348" width="9.140625" style="3" customWidth="1"/>
    <col min="3349" max="3584" width="9" style="3"/>
    <col min="3585" max="3585" width="5.28515625" style="3" customWidth="1"/>
    <col min="3586" max="3586" width="21.5703125" style="3" customWidth="1"/>
    <col min="3587" max="3587" width="17.85546875" style="3" customWidth="1"/>
    <col min="3588" max="3604" width="9.140625" style="3" customWidth="1"/>
    <col min="3605" max="3840" width="9" style="3"/>
    <col min="3841" max="3841" width="5.28515625" style="3" customWidth="1"/>
    <col min="3842" max="3842" width="21.5703125" style="3" customWidth="1"/>
    <col min="3843" max="3843" width="17.85546875" style="3" customWidth="1"/>
    <col min="3844" max="3860" width="9.140625" style="3" customWidth="1"/>
    <col min="3861" max="4096" width="9" style="3"/>
    <col min="4097" max="4097" width="5.28515625" style="3" customWidth="1"/>
    <col min="4098" max="4098" width="21.5703125" style="3" customWidth="1"/>
    <col min="4099" max="4099" width="17.85546875" style="3" customWidth="1"/>
    <col min="4100" max="4116" width="9.140625" style="3" customWidth="1"/>
    <col min="4117" max="4352" width="9" style="3"/>
    <col min="4353" max="4353" width="5.28515625" style="3" customWidth="1"/>
    <col min="4354" max="4354" width="21.5703125" style="3" customWidth="1"/>
    <col min="4355" max="4355" width="17.85546875" style="3" customWidth="1"/>
    <col min="4356" max="4372" width="9.140625" style="3" customWidth="1"/>
    <col min="4373" max="4608" width="9" style="3"/>
    <col min="4609" max="4609" width="5.28515625" style="3" customWidth="1"/>
    <col min="4610" max="4610" width="21.5703125" style="3" customWidth="1"/>
    <col min="4611" max="4611" width="17.85546875" style="3" customWidth="1"/>
    <col min="4612" max="4628" width="9.140625" style="3" customWidth="1"/>
    <col min="4629" max="4864" width="9" style="3"/>
    <col min="4865" max="4865" width="5.28515625" style="3" customWidth="1"/>
    <col min="4866" max="4866" width="21.5703125" style="3" customWidth="1"/>
    <col min="4867" max="4867" width="17.85546875" style="3" customWidth="1"/>
    <col min="4868" max="4884" width="9.140625" style="3" customWidth="1"/>
    <col min="4885" max="5120" width="9" style="3"/>
    <col min="5121" max="5121" width="5.28515625" style="3" customWidth="1"/>
    <col min="5122" max="5122" width="21.5703125" style="3" customWidth="1"/>
    <col min="5123" max="5123" width="17.85546875" style="3" customWidth="1"/>
    <col min="5124" max="5140" width="9.140625" style="3" customWidth="1"/>
    <col min="5141" max="5376" width="9" style="3"/>
    <col min="5377" max="5377" width="5.28515625" style="3" customWidth="1"/>
    <col min="5378" max="5378" width="21.5703125" style="3" customWidth="1"/>
    <col min="5379" max="5379" width="17.85546875" style="3" customWidth="1"/>
    <col min="5380" max="5396" width="9.140625" style="3" customWidth="1"/>
    <col min="5397" max="5632" width="9" style="3"/>
    <col min="5633" max="5633" width="5.28515625" style="3" customWidth="1"/>
    <col min="5634" max="5634" width="21.5703125" style="3" customWidth="1"/>
    <col min="5635" max="5635" width="17.85546875" style="3" customWidth="1"/>
    <col min="5636" max="5652" width="9.140625" style="3" customWidth="1"/>
    <col min="5653" max="5888" width="9" style="3"/>
    <col min="5889" max="5889" width="5.28515625" style="3" customWidth="1"/>
    <col min="5890" max="5890" width="21.5703125" style="3" customWidth="1"/>
    <col min="5891" max="5891" width="17.85546875" style="3" customWidth="1"/>
    <col min="5892" max="5908" width="9.140625" style="3" customWidth="1"/>
    <col min="5909" max="6144" width="9" style="3"/>
    <col min="6145" max="6145" width="5.28515625" style="3" customWidth="1"/>
    <col min="6146" max="6146" width="21.5703125" style="3" customWidth="1"/>
    <col min="6147" max="6147" width="17.85546875" style="3" customWidth="1"/>
    <col min="6148" max="6164" width="9.140625" style="3" customWidth="1"/>
    <col min="6165" max="6400" width="9" style="3"/>
    <col min="6401" max="6401" width="5.28515625" style="3" customWidth="1"/>
    <col min="6402" max="6402" width="21.5703125" style="3" customWidth="1"/>
    <col min="6403" max="6403" width="17.85546875" style="3" customWidth="1"/>
    <col min="6404" max="6420" width="9.140625" style="3" customWidth="1"/>
    <col min="6421" max="6656" width="9" style="3"/>
    <col min="6657" max="6657" width="5.28515625" style="3" customWidth="1"/>
    <col min="6658" max="6658" width="21.5703125" style="3" customWidth="1"/>
    <col min="6659" max="6659" width="17.85546875" style="3" customWidth="1"/>
    <col min="6660" max="6676" width="9.140625" style="3" customWidth="1"/>
    <col min="6677" max="6912" width="9" style="3"/>
    <col min="6913" max="6913" width="5.28515625" style="3" customWidth="1"/>
    <col min="6914" max="6914" width="21.5703125" style="3" customWidth="1"/>
    <col min="6915" max="6915" width="17.85546875" style="3" customWidth="1"/>
    <col min="6916" max="6932" width="9.140625" style="3" customWidth="1"/>
    <col min="6933" max="7168" width="9" style="3"/>
    <col min="7169" max="7169" width="5.28515625" style="3" customWidth="1"/>
    <col min="7170" max="7170" width="21.5703125" style="3" customWidth="1"/>
    <col min="7171" max="7171" width="17.85546875" style="3" customWidth="1"/>
    <col min="7172" max="7188" width="9.140625" style="3" customWidth="1"/>
    <col min="7189" max="7424" width="9" style="3"/>
    <col min="7425" max="7425" width="5.28515625" style="3" customWidth="1"/>
    <col min="7426" max="7426" width="21.5703125" style="3" customWidth="1"/>
    <col min="7427" max="7427" width="17.85546875" style="3" customWidth="1"/>
    <col min="7428" max="7444" width="9.140625" style="3" customWidth="1"/>
    <col min="7445" max="7680" width="9" style="3"/>
    <col min="7681" max="7681" width="5.28515625" style="3" customWidth="1"/>
    <col min="7682" max="7682" width="21.5703125" style="3" customWidth="1"/>
    <col min="7683" max="7683" width="17.85546875" style="3" customWidth="1"/>
    <col min="7684" max="7700" width="9.140625" style="3" customWidth="1"/>
    <col min="7701" max="7936" width="9" style="3"/>
    <col min="7937" max="7937" width="5.28515625" style="3" customWidth="1"/>
    <col min="7938" max="7938" width="21.5703125" style="3" customWidth="1"/>
    <col min="7939" max="7939" width="17.85546875" style="3" customWidth="1"/>
    <col min="7940" max="7956" width="9.140625" style="3" customWidth="1"/>
    <col min="7957" max="8192" width="9" style="3"/>
    <col min="8193" max="8193" width="5.28515625" style="3" customWidth="1"/>
    <col min="8194" max="8194" width="21.5703125" style="3" customWidth="1"/>
    <col min="8195" max="8195" width="17.85546875" style="3" customWidth="1"/>
    <col min="8196" max="8212" width="9.140625" style="3" customWidth="1"/>
    <col min="8213" max="8448" width="9" style="3"/>
    <col min="8449" max="8449" width="5.28515625" style="3" customWidth="1"/>
    <col min="8450" max="8450" width="21.5703125" style="3" customWidth="1"/>
    <col min="8451" max="8451" width="17.85546875" style="3" customWidth="1"/>
    <col min="8452" max="8468" width="9.140625" style="3" customWidth="1"/>
    <col min="8469" max="8704" width="9" style="3"/>
    <col min="8705" max="8705" width="5.28515625" style="3" customWidth="1"/>
    <col min="8706" max="8706" width="21.5703125" style="3" customWidth="1"/>
    <col min="8707" max="8707" width="17.85546875" style="3" customWidth="1"/>
    <col min="8708" max="8724" width="9.140625" style="3" customWidth="1"/>
    <col min="8725" max="8960" width="9" style="3"/>
    <col min="8961" max="8961" width="5.28515625" style="3" customWidth="1"/>
    <col min="8962" max="8962" width="21.5703125" style="3" customWidth="1"/>
    <col min="8963" max="8963" width="17.85546875" style="3" customWidth="1"/>
    <col min="8964" max="8980" width="9.140625" style="3" customWidth="1"/>
    <col min="8981" max="9216" width="9" style="3"/>
    <col min="9217" max="9217" width="5.28515625" style="3" customWidth="1"/>
    <col min="9218" max="9218" width="21.5703125" style="3" customWidth="1"/>
    <col min="9219" max="9219" width="17.85546875" style="3" customWidth="1"/>
    <col min="9220" max="9236" width="9.140625" style="3" customWidth="1"/>
    <col min="9237" max="9472" width="9" style="3"/>
    <col min="9473" max="9473" width="5.28515625" style="3" customWidth="1"/>
    <col min="9474" max="9474" width="21.5703125" style="3" customWidth="1"/>
    <col min="9475" max="9475" width="17.85546875" style="3" customWidth="1"/>
    <col min="9476" max="9492" width="9.140625" style="3" customWidth="1"/>
    <col min="9493" max="9728" width="9" style="3"/>
    <col min="9729" max="9729" width="5.28515625" style="3" customWidth="1"/>
    <col min="9730" max="9730" width="21.5703125" style="3" customWidth="1"/>
    <col min="9731" max="9731" width="17.85546875" style="3" customWidth="1"/>
    <col min="9732" max="9748" width="9.140625" style="3" customWidth="1"/>
    <col min="9749" max="9984" width="9" style="3"/>
    <col min="9985" max="9985" width="5.28515625" style="3" customWidth="1"/>
    <col min="9986" max="9986" width="21.5703125" style="3" customWidth="1"/>
    <col min="9987" max="9987" width="17.85546875" style="3" customWidth="1"/>
    <col min="9988" max="10004" width="9.140625" style="3" customWidth="1"/>
    <col min="10005" max="10240" width="9" style="3"/>
    <col min="10241" max="10241" width="5.28515625" style="3" customWidth="1"/>
    <col min="10242" max="10242" width="21.5703125" style="3" customWidth="1"/>
    <col min="10243" max="10243" width="17.85546875" style="3" customWidth="1"/>
    <col min="10244" max="10260" width="9.140625" style="3" customWidth="1"/>
    <col min="10261" max="10496" width="9" style="3"/>
    <col min="10497" max="10497" width="5.28515625" style="3" customWidth="1"/>
    <col min="10498" max="10498" width="21.5703125" style="3" customWidth="1"/>
    <col min="10499" max="10499" width="17.85546875" style="3" customWidth="1"/>
    <col min="10500" max="10516" width="9.140625" style="3" customWidth="1"/>
    <col min="10517" max="10752" width="9" style="3"/>
    <col min="10753" max="10753" width="5.28515625" style="3" customWidth="1"/>
    <col min="10754" max="10754" width="21.5703125" style="3" customWidth="1"/>
    <col min="10755" max="10755" width="17.85546875" style="3" customWidth="1"/>
    <col min="10756" max="10772" width="9.140625" style="3" customWidth="1"/>
    <col min="10773" max="11008" width="9" style="3"/>
    <col min="11009" max="11009" width="5.28515625" style="3" customWidth="1"/>
    <col min="11010" max="11010" width="21.5703125" style="3" customWidth="1"/>
    <col min="11011" max="11011" width="17.85546875" style="3" customWidth="1"/>
    <col min="11012" max="11028" width="9.140625" style="3" customWidth="1"/>
    <col min="11029" max="11264" width="9" style="3"/>
    <col min="11265" max="11265" width="5.28515625" style="3" customWidth="1"/>
    <col min="11266" max="11266" width="21.5703125" style="3" customWidth="1"/>
    <col min="11267" max="11267" width="17.85546875" style="3" customWidth="1"/>
    <col min="11268" max="11284" width="9.140625" style="3" customWidth="1"/>
    <col min="11285" max="11520" width="9" style="3"/>
    <col min="11521" max="11521" width="5.28515625" style="3" customWidth="1"/>
    <col min="11522" max="11522" width="21.5703125" style="3" customWidth="1"/>
    <col min="11523" max="11523" width="17.85546875" style="3" customWidth="1"/>
    <col min="11524" max="11540" width="9.140625" style="3" customWidth="1"/>
    <col min="11541" max="11776" width="9" style="3"/>
    <col min="11777" max="11777" width="5.28515625" style="3" customWidth="1"/>
    <col min="11778" max="11778" width="21.5703125" style="3" customWidth="1"/>
    <col min="11779" max="11779" width="17.85546875" style="3" customWidth="1"/>
    <col min="11780" max="11796" width="9.140625" style="3" customWidth="1"/>
    <col min="11797" max="12032" width="9" style="3"/>
    <col min="12033" max="12033" width="5.28515625" style="3" customWidth="1"/>
    <col min="12034" max="12034" width="21.5703125" style="3" customWidth="1"/>
    <col min="12035" max="12035" width="17.85546875" style="3" customWidth="1"/>
    <col min="12036" max="12052" width="9.140625" style="3" customWidth="1"/>
    <col min="12053" max="12288" width="9" style="3"/>
    <col min="12289" max="12289" width="5.28515625" style="3" customWidth="1"/>
    <col min="12290" max="12290" width="21.5703125" style="3" customWidth="1"/>
    <col min="12291" max="12291" width="17.85546875" style="3" customWidth="1"/>
    <col min="12292" max="12308" width="9.140625" style="3" customWidth="1"/>
    <col min="12309" max="12544" width="9" style="3"/>
    <col min="12545" max="12545" width="5.28515625" style="3" customWidth="1"/>
    <col min="12546" max="12546" width="21.5703125" style="3" customWidth="1"/>
    <col min="12547" max="12547" width="17.85546875" style="3" customWidth="1"/>
    <col min="12548" max="12564" width="9.140625" style="3" customWidth="1"/>
    <col min="12565" max="12800" width="9" style="3"/>
    <col min="12801" max="12801" width="5.28515625" style="3" customWidth="1"/>
    <col min="12802" max="12802" width="21.5703125" style="3" customWidth="1"/>
    <col min="12803" max="12803" width="17.85546875" style="3" customWidth="1"/>
    <col min="12804" max="12820" width="9.140625" style="3" customWidth="1"/>
    <col min="12821" max="13056" width="9" style="3"/>
    <col min="13057" max="13057" width="5.28515625" style="3" customWidth="1"/>
    <col min="13058" max="13058" width="21.5703125" style="3" customWidth="1"/>
    <col min="13059" max="13059" width="17.85546875" style="3" customWidth="1"/>
    <col min="13060" max="13076" width="9.140625" style="3" customWidth="1"/>
    <col min="13077" max="13312" width="9" style="3"/>
    <col min="13313" max="13313" width="5.28515625" style="3" customWidth="1"/>
    <col min="13314" max="13314" width="21.5703125" style="3" customWidth="1"/>
    <col min="13315" max="13315" width="17.85546875" style="3" customWidth="1"/>
    <col min="13316" max="13332" width="9.140625" style="3" customWidth="1"/>
    <col min="13333" max="13568" width="9" style="3"/>
    <col min="13569" max="13569" width="5.28515625" style="3" customWidth="1"/>
    <col min="13570" max="13570" width="21.5703125" style="3" customWidth="1"/>
    <col min="13571" max="13571" width="17.85546875" style="3" customWidth="1"/>
    <col min="13572" max="13588" width="9.140625" style="3" customWidth="1"/>
    <col min="13589" max="13824" width="9" style="3"/>
    <col min="13825" max="13825" width="5.28515625" style="3" customWidth="1"/>
    <col min="13826" max="13826" width="21.5703125" style="3" customWidth="1"/>
    <col min="13827" max="13827" width="17.85546875" style="3" customWidth="1"/>
    <col min="13828" max="13844" width="9.140625" style="3" customWidth="1"/>
    <col min="13845" max="14080" width="9" style="3"/>
    <col min="14081" max="14081" width="5.28515625" style="3" customWidth="1"/>
    <col min="14082" max="14082" width="21.5703125" style="3" customWidth="1"/>
    <col min="14083" max="14083" width="17.85546875" style="3" customWidth="1"/>
    <col min="14084" max="14100" width="9.140625" style="3" customWidth="1"/>
    <col min="14101" max="14336" width="9" style="3"/>
    <col min="14337" max="14337" width="5.28515625" style="3" customWidth="1"/>
    <col min="14338" max="14338" width="21.5703125" style="3" customWidth="1"/>
    <col min="14339" max="14339" width="17.85546875" style="3" customWidth="1"/>
    <col min="14340" max="14356" width="9.140625" style="3" customWidth="1"/>
    <col min="14357" max="14592" width="9" style="3"/>
    <col min="14593" max="14593" width="5.28515625" style="3" customWidth="1"/>
    <col min="14594" max="14594" width="21.5703125" style="3" customWidth="1"/>
    <col min="14595" max="14595" width="17.85546875" style="3" customWidth="1"/>
    <col min="14596" max="14612" width="9.140625" style="3" customWidth="1"/>
    <col min="14613" max="14848" width="9" style="3"/>
    <col min="14849" max="14849" width="5.28515625" style="3" customWidth="1"/>
    <col min="14850" max="14850" width="21.5703125" style="3" customWidth="1"/>
    <col min="14851" max="14851" width="17.85546875" style="3" customWidth="1"/>
    <col min="14852" max="14868" width="9.140625" style="3" customWidth="1"/>
    <col min="14869" max="15104" width="9" style="3"/>
    <col min="15105" max="15105" width="5.28515625" style="3" customWidth="1"/>
    <col min="15106" max="15106" width="21.5703125" style="3" customWidth="1"/>
    <col min="15107" max="15107" width="17.85546875" style="3" customWidth="1"/>
    <col min="15108" max="15124" width="9.140625" style="3" customWidth="1"/>
    <col min="15125" max="15360" width="9" style="3"/>
    <col min="15361" max="15361" width="5.28515625" style="3" customWidth="1"/>
    <col min="15362" max="15362" width="21.5703125" style="3" customWidth="1"/>
    <col min="15363" max="15363" width="17.85546875" style="3" customWidth="1"/>
    <col min="15364" max="15380" width="9.140625" style="3" customWidth="1"/>
    <col min="15381" max="15616" width="9" style="3"/>
    <col min="15617" max="15617" width="5.28515625" style="3" customWidth="1"/>
    <col min="15618" max="15618" width="21.5703125" style="3" customWidth="1"/>
    <col min="15619" max="15619" width="17.85546875" style="3" customWidth="1"/>
    <col min="15620" max="15636" width="9.140625" style="3" customWidth="1"/>
    <col min="15637" max="15872" width="9" style="3"/>
    <col min="15873" max="15873" width="5.28515625" style="3" customWidth="1"/>
    <col min="15874" max="15874" width="21.5703125" style="3" customWidth="1"/>
    <col min="15875" max="15875" width="17.85546875" style="3" customWidth="1"/>
    <col min="15876" max="15892" width="9.140625" style="3" customWidth="1"/>
    <col min="15893" max="16128" width="9" style="3"/>
    <col min="16129" max="16129" width="5.28515625" style="3" customWidth="1"/>
    <col min="16130" max="16130" width="21.5703125" style="3" customWidth="1"/>
    <col min="16131" max="16131" width="17.85546875" style="3" customWidth="1"/>
    <col min="16132" max="16148" width="9.140625" style="3" customWidth="1"/>
    <col min="16149" max="16384" width="9" style="3"/>
  </cols>
  <sheetData>
    <row r="1" spans="1:35" ht="34.5" thickBot="1" x14ac:dyDescent="0.3">
      <c r="A1" s="170" t="s">
        <v>69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2"/>
      <c r="U1" s="1"/>
      <c r="V1" s="1"/>
    </row>
    <row r="2" spans="1:35" s="12" customFormat="1" ht="179.25" customHeight="1" thickBot="1" x14ac:dyDescent="0.3">
      <c r="A2" s="4" t="s">
        <v>0</v>
      </c>
      <c r="B2" s="5" t="s">
        <v>1</v>
      </c>
      <c r="C2" s="6" t="s">
        <v>2</v>
      </c>
      <c r="D2" s="7" t="s">
        <v>70</v>
      </c>
      <c r="E2" s="8" t="s">
        <v>71</v>
      </c>
      <c r="F2" s="7" t="s">
        <v>80</v>
      </c>
      <c r="G2" s="7" t="s">
        <v>81</v>
      </c>
      <c r="H2" s="7" t="s">
        <v>96</v>
      </c>
      <c r="I2" s="7" t="s">
        <v>95</v>
      </c>
      <c r="J2" s="8" t="s">
        <v>116</v>
      </c>
      <c r="K2" s="8" t="s">
        <v>117</v>
      </c>
      <c r="L2" s="8"/>
      <c r="M2" s="8"/>
      <c r="N2" s="8"/>
      <c r="O2" s="8"/>
      <c r="P2" s="8"/>
      <c r="Q2" s="8"/>
      <c r="R2" s="7"/>
      <c r="S2" s="7"/>
      <c r="T2" s="9" t="s">
        <v>3</v>
      </c>
      <c r="U2" s="10"/>
      <c r="V2" s="10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</row>
    <row r="3" spans="1:35" s="21" customFormat="1" x14ac:dyDescent="0.25">
      <c r="A3" s="13" t="s">
        <v>4</v>
      </c>
      <c r="B3" s="23" t="s">
        <v>24</v>
      </c>
      <c r="C3" s="24" t="s">
        <v>25</v>
      </c>
      <c r="D3" s="95">
        <f>100-(92.27-92.27)/92.27*50</f>
        <v>100</v>
      </c>
      <c r="E3" s="19">
        <f>100-(73.93-71)/71*50</f>
        <v>97.936619718309856</v>
      </c>
      <c r="F3" s="19">
        <f>100-(36.7-30.07)/30.07*50</f>
        <v>88.975723312271356</v>
      </c>
      <c r="G3" s="19">
        <f>100-(128.7-115.4)/115.4*50</f>
        <v>94.237435008665514</v>
      </c>
      <c r="H3" s="18">
        <f>100-(49.35-44.18)/44.18*50</f>
        <v>94.148936170212764</v>
      </c>
      <c r="I3" s="144" t="s">
        <v>12</v>
      </c>
      <c r="J3" s="17">
        <f>100-(32.1-32.1)/32.1*50</f>
        <v>100</v>
      </c>
      <c r="K3" s="18">
        <f>100-(79.13-70.57)/70.57*50</f>
        <v>93.9350999008077</v>
      </c>
      <c r="L3" s="16"/>
      <c r="M3" s="16"/>
      <c r="N3" s="16"/>
      <c r="O3" s="16"/>
      <c r="P3" s="17"/>
      <c r="Q3" s="136"/>
      <c r="R3" s="17"/>
      <c r="S3" s="16"/>
      <c r="T3" s="20">
        <f t="shared" ref="T3:T16" si="0">SUM(D3:S3)</f>
        <v>669.23381411026719</v>
      </c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s="21" customFormat="1" x14ac:dyDescent="0.25">
      <c r="A4" s="22" t="s">
        <v>6</v>
      </c>
      <c r="B4" s="23" t="s">
        <v>30</v>
      </c>
      <c r="C4" s="24"/>
      <c r="D4" s="19">
        <f>100-(114.8-92.27)/92.27*50</f>
        <v>87.79126476644629</v>
      </c>
      <c r="E4" s="19">
        <f>100-(78.28-71)/71*50</f>
        <v>94.873239436619713</v>
      </c>
      <c r="F4" s="34"/>
      <c r="G4" s="34"/>
      <c r="H4" s="18">
        <f>100-(61.73-44.18)/44.18*50</f>
        <v>80.138071525577189</v>
      </c>
      <c r="I4" s="18">
        <f>100-(147.37-111.7)/111.7*50</f>
        <v>84.033124440465528</v>
      </c>
      <c r="J4" s="18">
        <f>100-(39.15-32.1)/32.1*50</f>
        <v>89.018691588785046</v>
      </c>
      <c r="K4" s="18">
        <f>100-(70.57-70.57)/70.57*50</f>
        <v>100</v>
      </c>
      <c r="L4" s="19"/>
      <c r="M4" s="19"/>
      <c r="N4" s="19"/>
      <c r="O4" s="19"/>
      <c r="P4" s="18"/>
      <c r="Q4" s="19"/>
      <c r="R4" s="18"/>
      <c r="S4" s="19"/>
      <c r="T4" s="26">
        <f t="shared" si="0"/>
        <v>535.85439175789384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s="21" customFormat="1" x14ac:dyDescent="0.25">
      <c r="A5" s="22" t="s">
        <v>8</v>
      </c>
      <c r="B5" s="23" t="s">
        <v>21</v>
      </c>
      <c r="C5" s="24" t="s">
        <v>22</v>
      </c>
      <c r="D5" s="19"/>
      <c r="E5" s="19">
        <f>100-(84.6-71)/71*50</f>
        <v>90.422535211267615</v>
      </c>
      <c r="F5" s="19"/>
      <c r="G5" s="19"/>
      <c r="H5" s="18">
        <f>100-(60-44.18)/44.18*50</f>
        <v>82.095971027614297</v>
      </c>
      <c r="I5" s="18">
        <f>100-(141.75-111.7)/111.7*50</f>
        <v>86.548791405550588</v>
      </c>
      <c r="J5" s="19">
        <f>100-(38.6-32.1)/32.1*50</f>
        <v>89.875389408099693</v>
      </c>
      <c r="K5" s="18">
        <f>100-(105.58-70.57)/70.57*50</f>
        <v>75.194842000850215</v>
      </c>
      <c r="L5" s="19"/>
      <c r="M5" s="19"/>
      <c r="N5" s="18"/>
      <c r="O5" s="18"/>
      <c r="P5" s="18"/>
      <c r="Q5" s="29"/>
      <c r="R5" s="18"/>
      <c r="S5" s="19"/>
      <c r="T5" s="26">
        <f t="shared" si="0"/>
        <v>424.13752905338242</v>
      </c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s="21" customFormat="1" x14ac:dyDescent="0.25">
      <c r="A6" s="22" t="s">
        <v>11</v>
      </c>
      <c r="B6" s="23" t="s">
        <v>92</v>
      </c>
      <c r="C6" s="24"/>
      <c r="D6" s="33"/>
      <c r="E6" s="19"/>
      <c r="F6" s="18">
        <f>100-(35.08-30.07)/30.07*50</f>
        <v>91.669437978051221</v>
      </c>
      <c r="G6" s="18">
        <f>100-(123.3-115.4)/115.4*50</f>
        <v>96.577123050259971</v>
      </c>
      <c r="J6" s="18">
        <f>100-(38.43-32.1)/32.1*50</f>
        <v>90.140186915887853</v>
      </c>
      <c r="K6" s="18">
        <f>100-(70.57-70.57)/70.57*50</f>
        <v>100</v>
      </c>
      <c r="L6" s="18"/>
      <c r="M6" s="25"/>
      <c r="N6" s="33"/>
      <c r="O6" s="33"/>
      <c r="R6" s="164"/>
      <c r="S6" s="19"/>
      <c r="T6" s="26">
        <f t="shared" si="0"/>
        <v>378.38674794419904</v>
      </c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s="21" customFormat="1" x14ac:dyDescent="0.25">
      <c r="A7" s="22" t="s">
        <v>13</v>
      </c>
      <c r="B7" s="23" t="s">
        <v>82</v>
      </c>
      <c r="C7" s="24" t="s">
        <v>5</v>
      </c>
      <c r="D7" s="19"/>
      <c r="E7" s="19"/>
      <c r="F7" s="112">
        <f>100-(30.07-30.07)/30.07*50</f>
        <v>100</v>
      </c>
      <c r="G7" s="18">
        <f>100-(115.4-115.4)/115.4*50</f>
        <v>100</v>
      </c>
      <c r="H7" s="18">
        <f>100-(45.92-44.18)/44.18*50</f>
        <v>98.030783159800819</v>
      </c>
      <c r="I7" s="74" t="s">
        <v>12</v>
      </c>
      <c r="J7" s="112"/>
      <c r="K7" s="18"/>
      <c r="L7" s="18"/>
      <c r="M7" s="18"/>
      <c r="N7" s="18"/>
      <c r="O7" s="18"/>
      <c r="P7" s="18"/>
      <c r="Q7" s="19"/>
      <c r="R7" s="18"/>
      <c r="S7" s="19"/>
      <c r="T7" s="26">
        <f t="shared" si="0"/>
        <v>298.03078315980082</v>
      </c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s="21" customFormat="1" x14ac:dyDescent="0.25">
      <c r="A8" s="22" t="s">
        <v>15</v>
      </c>
      <c r="B8" s="23" t="s">
        <v>9</v>
      </c>
      <c r="C8" s="24" t="s">
        <v>10</v>
      </c>
      <c r="D8" s="31">
        <f>100-(95.65-92.27)/92.27*50</f>
        <v>98.168418770998159</v>
      </c>
      <c r="E8" s="19">
        <f>100-(74.35-71)/71*50</f>
        <v>97.640845070422543</v>
      </c>
      <c r="F8" s="18"/>
      <c r="G8" s="18"/>
      <c r="H8" s="18"/>
      <c r="I8" s="18"/>
      <c r="J8" s="18">
        <f>100-(32.2-32.1)/32.1*50</f>
        <v>99.844236760124602</v>
      </c>
      <c r="K8" s="18"/>
      <c r="L8" s="18"/>
      <c r="M8" s="25"/>
      <c r="N8" s="18"/>
      <c r="O8" s="18"/>
      <c r="P8" s="18"/>
      <c r="Q8" s="18"/>
      <c r="R8" s="18"/>
      <c r="S8" s="19"/>
      <c r="T8" s="26">
        <f t="shared" si="0"/>
        <v>295.65350060154532</v>
      </c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5" s="21" customFormat="1" x14ac:dyDescent="0.25">
      <c r="A9" s="22" t="s">
        <v>18</v>
      </c>
      <c r="B9" s="23" t="s">
        <v>97</v>
      </c>
      <c r="C9" s="24" t="s">
        <v>14</v>
      </c>
      <c r="D9" s="31"/>
      <c r="E9" s="19"/>
      <c r="F9" s="34"/>
      <c r="G9" s="18"/>
      <c r="H9" s="18">
        <f>100-(44.18-44.18)/44.18*50</f>
        <v>100</v>
      </c>
      <c r="I9" s="18">
        <f>100-(111.7-111.7)/111.7*50</f>
        <v>100</v>
      </c>
      <c r="J9" s="18"/>
      <c r="K9" s="18">
        <f>100-(81.9-70.57)/70.57*50</f>
        <v>91.972509564970949</v>
      </c>
      <c r="L9" s="19"/>
      <c r="M9" s="19"/>
      <c r="N9" s="19"/>
      <c r="O9" s="19"/>
      <c r="P9" s="18"/>
      <c r="Q9" s="19"/>
      <c r="R9" s="18"/>
      <c r="S9" s="18"/>
      <c r="T9" s="26">
        <f t="shared" si="0"/>
        <v>291.97250956497095</v>
      </c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s="21" customFormat="1" x14ac:dyDescent="0.25">
      <c r="A10" s="22" t="s">
        <v>20</v>
      </c>
      <c r="B10" s="23" t="s">
        <v>16</v>
      </c>
      <c r="C10" s="24" t="s">
        <v>17</v>
      </c>
      <c r="D10" s="31"/>
      <c r="E10" s="36">
        <f>100-(75.62-71)/71*50</f>
        <v>96.74647887323944</v>
      </c>
      <c r="F10" s="19"/>
      <c r="G10" s="19"/>
      <c r="H10" s="18"/>
      <c r="I10" s="18"/>
      <c r="J10" s="18">
        <f>100-(34.17-32.1)/32.1*50</f>
        <v>96.775700934579433</v>
      </c>
      <c r="K10" s="18">
        <f>100-(90.02-70.57)/70.57*50</f>
        <v>86.21935666713901</v>
      </c>
      <c r="L10" s="19"/>
      <c r="M10" s="19"/>
      <c r="N10" s="18"/>
      <c r="O10" s="18"/>
      <c r="P10" s="18"/>
      <c r="Q10" s="19"/>
      <c r="R10" s="120"/>
      <c r="S10" s="18"/>
      <c r="T10" s="26">
        <f t="shared" si="0"/>
        <v>279.74153647495791</v>
      </c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s="21" customFormat="1" x14ac:dyDescent="0.25">
      <c r="A11" s="22" t="s">
        <v>23</v>
      </c>
      <c r="B11" s="23" t="s">
        <v>28</v>
      </c>
      <c r="C11" s="24" t="s">
        <v>19</v>
      </c>
      <c r="D11" s="154"/>
      <c r="E11" s="18">
        <f>100-(71-71)/71*50</f>
        <v>100</v>
      </c>
      <c r="F11" s="28"/>
      <c r="G11" s="19"/>
      <c r="H11" s="18"/>
      <c r="I11" s="18"/>
      <c r="J11" s="18">
        <f>100-(32.83-32.1)/32.1*50</f>
        <v>98.862928348909662</v>
      </c>
      <c r="K11" s="18"/>
      <c r="L11" s="18"/>
      <c r="M11" s="18"/>
      <c r="N11" s="18"/>
      <c r="O11" s="18"/>
      <c r="P11" s="18"/>
      <c r="Q11" s="18"/>
      <c r="R11" s="18"/>
      <c r="S11" s="18"/>
      <c r="T11" s="26">
        <f t="shared" si="0"/>
        <v>198.86292834890966</v>
      </c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 s="21" customFormat="1" x14ac:dyDescent="0.25">
      <c r="A12" s="22" t="s">
        <v>26</v>
      </c>
      <c r="B12" s="23" t="s">
        <v>118</v>
      </c>
      <c r="C12" s="24" t="s">
        <v>19</v>
      </c>
      <c r="D12" s="163"/>
      <c r="E12" s="18"/>
      <c r="F12" s="34"/>
      <c r="G12" s="18"/>
      <c r="H12" s="18"/>
      <c r="I12" s="18"/>
      <c r="J12" s="18">
        <f>100-(33.48-32.1)/32.1*50</f>
        <v>97.850467289719631</v>
      </c>
      <c r="K12" s="18">
        <f>100-(84.65-70.57)/70.57*50</f>
        <v>90.024089556468738</v>
      </c>
      <c r="L12" s="18"/>
      <c r="M12" s="25"/>
      <c r="N12" s="34"/>
      <c r="O12" s="18"/>
      <c r="P12" s="18"/>
      <c r="Q12" s="159"/>
      <c r="R12" s="159"/>
      <c r="S12" s="29"/>
      <c r="T12" s="26">
        <f t="shared" si="0"/>
        <v>187.87455684618837</v>
      </c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s="21" customFormat="1" x14ac:dyDescent="0.25">
      <c r="A13" s="22" t="s">
        <v>27</v>
      </c>
      <c r="B13" s="23" t="s">
        <v>119</v>
      </c>
      <c r="C13" s="24" t="s">
        <v>19</v>
      </c>
      <c r="D13" s="36"/>
      <c r="E13" s="19"/>
      <c r="F13" s="34"/>
      <c r="G13" s="37"/>
      <c r="H13" s="18"/>
      <c r="I13" s="18"/>
      <c r="J13" s="18">
        <f>100-(36.97-32.1)/32.1*50</f>
        <v>92.414330218068542</v>
      </c>
      <c r="K13" s="18">
        <f>100-(89.4-70.57)/70.57*50</f>
        <v>86.658636814510402</v>
      </c>
      <c r="L13" s="18"/>
      <c r="M13" s="25"/>
      <c r="N13" s="18"/>
      <c r="O13" s="18"/>
      <c r="P13" s="18"/>
      <c r="Q13" s="29"/>
      <c r="R13" s="29"/>
      <c r="S13" s="29"/>
      <c r="T13" s="26">
        <f t="shared" si="0"/>
        <v>179.07296703257896</v>
      </c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 s="21" customFormat="1" x14ac:dyDescent="0.25">
      <c r="A14" s="22" t="s">
        <v>29</v>
      </c>
      <c r="B14" s="23" t="s">
        <v>46</v>
      </c>
      <c r="C14" s="24" t="s">
        <v>17</v>
      </c>
      <c r="D14" s="141" t="s">
        <v>12</v>
      </c>
      <c r="E14" s="18">
        <f>100-(83.03-71)/71*50</f>
        <v>91.528169014084511</v>
      </c>
      <c r="F14" s="19"/>
      <c r="G14" s="19"/>
      <c r="H14" s="18"/>
      <c r="I14" s="18"/>
      <c r="J14" s="18"/>
      <c r="L14" s="19"/>
      <c r="M14" s="19"/>
      <c r="P14" s="18"/>
      <c r="Q14" s="18"/>
      <c r="R14" s="33"/>
      <c r="S14" s="33"/>
      <c r="T14" s="26">
        <f t="shared" si="0"/>
        <v>91.528169014084511</v>
      </c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 s="21" customFormat="1" x14ac:dyDescent="0.25">
      <c r="A15" s="22" t="s">
        <v>31</v>
      </c>
      <c r="B15" s="23" t="s">
        <v>120</v>
      </c>
      <c r="C15" s="24" t="s">
        <v>22</v>
      </c>
      <c r="D15" s="36"/>
      <c r="E15" s="18"/>
      <c r="F15" s="18"/>
      <c r="G15" s="18"/>
      <c r="H15" s="19"/>
      <c r="I15" s="19"/>
      <c r="J15" s="18">
        <f>100-(41.35-32.1)/32.1*50</f>
        <v>85.591900311526473</v>
      </c>
      <c r="K15" s="18"/>
      <c r="L15" s="18"/>
      <c r="M15" s="37"/>
      <c r="N15" s="18"/>
      <c r="O15" s="34"/>
      <c r="P15" s="18"/>
      <c r="Q15" s="18"/>
      <c r="R15" s="18"/>
      <c r="S15" s="18"/>
      <c r="T15" s="26">
        <f t="shared" si="0"/>
        <v>85.591900311526473</v>
      </c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5" s="21" customFormat="1" x14ac:dyDescent="0.25">
      <c r="A16" s="22" t="s">
        <v>32</v>
      </c>
      <c r="B16" s="23" t="s">
        <v>73</v>
      </c>
      <c r="C16" s="32" t="s">
        <v>74</v>
      </c>
      <c r="D16" s="141" t="s">
        <v>12</v>
      </c>
      <c r="E16" s="74" t="s">
        <v>12</v>
      </c>
      <c r="F16" s="19"/>
      <c r="G16" s="164"/>
      <c r="H16" s="18"/>
      <c r="I16" s="18"/>
      <c r="J16" s="18"/>
      <c r="K16" s="18"/>
      <c r="L16" s="19"/>
      <c r="M16" s="19"/>
      <c r="N16" s="18"/>
      <c r="O16" s="18"/>
      <c r="P16" s="18"/>
      <c r="Q16" s="29"/>
      <c r="R16" s="29"/>
      <c r="S16" s="29"/>
      <c r="T16" s="26">
        <f t="shared" si="0"/>
        <v>0</v>
      </c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5" s="21" customFormat="1" x14ac:dyDescent="0.25">
      <c r="A17" s="22" t="s">
        <v>33</v>
      </c>
      <c r="B17" s="23"/>
      <c r="C17" s="32"/>
      <c r="D17" s="36"/>
      <c r="E17" s="18"/>
      <c r="F17" s="34"/>
      <c r="G17" s="18"/>
      <c r="H17" s="30"/>
      <c r="I17" s="19"/>
      <c r="J17" s="18"/>
      <c r="K17" s="18"/>
      <c r="L17" s="18"/>
      <c r="M17" s="25"/>
      <c r="N17" s="18"/>
      <c r="O17" s="18"/>
      <c r="P17" s="18"/>
      <c r="Q17" s="18"/>
      <c r="R17" s="18"/>
      <c r="S17" s="18"/>
      <c r="T17" s="26">
        <f t="shared" ref="T17:T20" si="1">SUM(D17:S17)</f>
        <v>0</v>
      </c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5" s="21" customFormat="1" x14ac:dyDescent="0.25">
      <c r="A18" s="22" t="s">
        <v>34</v>
      </c>
      <c r="B18" s="23"/>
      <c r="C18" s="32"/>
      <c r="D18" s="35"/>
      <c r="E18" s="18"/>
      <c r="F18" s="38"/>
      <c r="H18" s="33"/>
      <c r="I18" s="33"/>
      <c r="J18" s="18"/>
      <c r="L18" s="18"/>
      <c r="M18" s="25"/>
      <c r="Q18" s="19"/>
      <c r="S18" s="18"/>
      <c r="T18" s="26">
        <f t="shared" si="1"/>
        <v>0</v>
      </c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1:35" s="21" customFormat="1" x14ac:dyDescent="0.25">
      <c r="A19" s="22" t="s">
        <v>35</v>
      </c>
      <c r="B19" s="23"/>
      <c r="C19" s="24"/>
      <c r="D19" s="27"/>
      <c r="E19" s="18"/>
      <c r="F19" s="34"/>
      <c r="G19" s="18"/>
      <c r="H19" s="37"/>
      <c r="I19" s="18"/>
      <c r="J19" s="18"/>
      <c r="K19" s="18"/>
      <c r="L19" s="18"/>
      <c r="M19" s="25"/>
      <c r="N19" s="18"/>
      <c r="O19" s="18"/>
      <c r="P19" s="18"/>
      <c r="Q19" s="18"/>
      <c r="R19" s="18"/>
      <c r="S19" s="18"/>
      <c r="T19" s="26">
        <f t="shared" si="1"/>
        <v>0</v>
      </c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1:35" s="21" customFormat="1" ht="15.75" thickBot="1" x14ac:dyDescent="0.3">
      <c r="A20" s="39" t="s">
        <v>68</v>
      </c>
      <c r="B20" s="40"/>
      <c r="C20" s="41"/>
      <c r="D20" s="42"/>
      <c r="E20" s="43"/>
      <c r="F20" s="44"/>
      <c r="G20" s="43"/>
      <c r="H20" s="45"/>
      <c r="I20" s="43"/>
      <c r="J20" s="43"/>
      <c r="K20" s="43"/>
      <c r="L20" s="43"/>
      <c r="M20" s="46"/>
      <c r="N20" s="43"/>
      <c r="O20" s="43"/>
      <c r="P20" s="43"/>
      <c r="Q20" s="47"/>
      <c r="R20" s="43"/>
      <c r="S20" s="121"/>
      <c r="T20" s="48">
        <f t="shared" si="1"/>
        <v>0</v>
      </c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1:35" s="2" customFormat="1" x14ac:dyDescent="0.25">
      <c r="D21" s="49"/>
      <c r="E21" s="49"/>
      <c r="F21" s="50"/>
      <c r="G21" s="49"/>
      <c r="H21" s="51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52"/>
    </row>
    <row r="22" spans="1:35" s="2" customFormat="1" x14ac:dyDescent="0.25">
      <c r="F22" s="53"/>
      <c r="J22" s="49"/>
      <c r="L22" s="49"/>
      <c r="N22" s="49"/>
      <c r="O22" s="49"/>
      <c r="T22" s="52"/>
    </row>
    <row r="23" spans="1:35" x14ac:dyDescent="0.25">
      <c r="A23" s="2"/>
      <c r="B23" s="2"/>
      <c r="C23" s="2"/>
      <c r="D23" s="49"/>
      <c r="E23" s="49"/>
      <c r="F23" s="50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</row>
    <row r="24" spans="1:35" s="54" customFormat="1" x14ac:dyDescent="0.25">
      <c r="A24" s="54" t="s">
        <v>36</v>
      </c>
    </row>
    <row r="25" spans="1:35" s="55" customFormat="1" x14ac:dyDescent="0.25">
      <c r="A25" s="55" t="s">
        <v>37</v>
      </c>
    </row>
  </sheetData>
  <sortState ref="B3:T16">
    <sortCondition descending="1" ref="T3"/>
  </sortState>
  <mergeCells count="1">
    <mergeCell ref="A1:T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workbookViewId="0">
      <selection activeCell="W9" sqref="W9"/>
    </sheetView>
  </sheetViews>
  <sheetFormatPr defaultColWidth="9" defaultRowHeight="15" x14ac:dyDescent="0.25"/>
  <cols>
    <col min="1" max="1" width="5.140625" style="3" customWidth="1"/>
    <col min="2" max="2" width="19.85546875" style="3" customWidth="1"/>
    <col min="3" max="3" width="11.85546875" style="3" customWidth="1"/>
    <col min="4" max="5" width="9.140625" style="3" customWidth="1"/>
    <col min="6" max="6" width="9.140625" style="56" customWidth="1"/>
    <col min="7" max="20" width="9.140625" style="3" customWidth="1"/>
    <col min="21" max="30" width="9" style="2"/>
    <col min="31" max="256" width="9" style="3"/>
    <col min="257" max="257" width="5.140625" style="3" customWidth="1"/>
    <col min="258" max="258" width="19.85546875" style="3" customWidth="1"/>
    <col min="259" max="259" width="11.85546875" style="3" customWidth="1"/>
    <col min="260" max="276" width="9.140625" style="3" customWidth="1"/>
    <col min="277" max="512" width="9" style="3"/>
    <col min="513" max="513" width="5.140625" style="3" customWidth="1"/>
    <col min="514" max="514" width="19.85546875" style="3" customWidth="1"/>
    <col min="515" max="515" width="11.85546875" style="3" customWidth="1"/>
    <col min="516" max="532" width="9.140625" style="3" customWidth="1"/>
    <col min="533" max="768" width="9" style="3"/>
    <col min="769" max="769" width="5.140625" style="3" customWidth="1"/>
    <col min="770" max="770" width="19.85546875" style="3" customWidth="1"/>
    <col min="771" max="771" width="11.85546875" style="3" customWidth="1"/>
    <col min="772" max="788" width="9.140625" style="3" customWidth="1"/>
    <col min="789" max="1024" width="9" style="3"/>
    <col min="1025" max="1025" width="5.140625" style="3" customWidth="1"/>
    <col min="1026" max="1026" width="19.85546875" style="3" customWidth="1"/>
    <col min="1027" max="1027" width="11.85546875" style="3" customWidth="1"/>
    <col min="1028" max="1044" width="9.140625" style="3" customWidth="1"/>
    <col min="1045" max="1280" width="9" style="3"/>
    <col min="1281" max="1281" width="5.140625" style="3" customWidth="1"/>
    <col min="1282" max="1282" width="19.85546875" style="3" customWidth="1"/>
    <col min="1283" max="1283" width="11.85546875" style="3" customWidth="1"/>
    <col min="1284" max="1300" width="9.140625" style="3" customWidth="1"/>
    <col min="1301" max="1536" width="9" style="3"/>
    <col min="1537" max="1537" width="5.140625" style="3" customWidth="1"/>
    <col min="1538" max="1538" width="19.85546875" style="3" customWidth="1"/>
    <col min="1539" max="1539" width="11.85546875" style="3" customWidth="1"/>
    <col min="1540" max="1556" width="9.140625" style="3" customWidth="1"/>
    <col min="1557" max="1792" width="9" style="3"/>
    <col min="1793" max="1793" width="5.140625" style="3" customWidth="1"/>
    <col min="1794" max="1794" width="19.85546875" style="3" customWidth="1"/>
    <col min="1795" max="1795" width="11.85546875" style="3" customWidth="1"/>
    <col min="1796" max="1812" width="9.140625" style="3" customWidth="1"/>
    <col min="1813" max="2048" width="9" style="3"/>
    <col min="2049" max="2049" width="5.140625" style="3" customWidth="1"/>
    <col min="2050" max="2050" width="19.85546875" style="3" customWidth="1"/>
    <col min="2051" max="2051" width="11.85546875" style="3" customWidth="1"/>
    <col min="2052" max="2068" width="9.140625" style="3" customWidth="1"/>
    <col min="2069" max="2304" width="9" style="3"/>
    <col min="2305" max="2305" width="5.140625" style="3" customWidth="1"/>
    <col min="2306" max="2306" width="19.85546875" style="3" customWidth="1"/>
    <col min="2307" max="2307" width="11.85546875" style="3" customWidth="1"/>
    <col min="2308" max="2324" width="9.140625" style="3" customWidth="1"/>
    <col min="2325" max="2560" width="9" style="3"/>
    <col min="2561" max="2561" width="5.140625" style="3" customWidth="1"/>
    <col min="2562" max="2562" width="19.85546875" style="3" customWidth="1"/>
    <col min="2563" max="2563" width="11.85546875" style="3" customWidth="1"/>
    <col min="2564" max="2580" width="9.140625" style="3" customWidth="1"/>
    <col min="2581" max="2816" width="9" style="3"/>
    <col min="2817" max="2817" width="5.140625" style="3" customWidth="1"/>
    <col min="2818" max="2818" width="19.85546875" style="3" customWidth="1"/>
    <col min="2819" max="2819" width="11.85546875" style="3" customWidth="1"/>
    <col min="2820" max="2836" width="9.140625" style="3" customWidth="1"/>
    <col min="2837" max="3072" width="9" style="3"/>
    <col min="3073" max="3073" width="5.140625" style="3" customWidth="1"/>
    <col min="3074" max="3074" width="19.85546875" style="3" customWidth="1"/>
    <col min="3075" max="3075" width="11.85546875" style="3" customWidth="1"/>
    <col min="3076" max="3092" width="9.140625" style="3" customWidth="1"/>
    <col min="3093" max="3328" width="9" style="3"/>
    <col min="3329" max="3329" width="5.140625" style="3" customWidth="1"/>
    <col min="3330" max="3330" width="19.85546875" style="3" customWidth="1"/>
    <col min="3331" max="3331" width="11.85546875" style="3" customWidth="1"/>
    <col min="3332" max="3348" width="9.140625" style="3" customWidth="1"/>
    <col min="3349" max="3584" width="9" style="3"/>
    <col min="3585" max="3585" width="5.140625" style="3" customWidth="1"/>
    <col min="3586" max="3586" width="19.85546875" style="3" customWidth="1"/>
    <col min="3587" max="3587" width="11.85546875" style="3" customWidth="1"/>
    <col min="3588" max="3604" width="9.140625" style="3" customWidth="1"/>
    <col min="3605" max="3840" width="9" style="3"/>
    <col min="3841" max="3841" width="5.140625" style="3" customWidth="1"/>
    <col min="3842" max="3842" width="19.85546875" style="3" customWidth="1"/>
    <col min="3843" max="3843" width="11.85546875" style="3" customWidth="1"/>
    <col min="3844" max="3860" width="9.140625" style="3" customWidth="1"/>
    <col min="3861" max="4096" width="9" style="3"/>
    <col min="4097" max="4097" width="5.140625" style="3" customWidth="1"/>
    <col min="4098" max="4098" width="19.85546875" style="3" customWidth="1"/>
    <col min="4099" max="4099" width="11.85546875" style="3" customWidth="1"/>
    <col min="4100" max="4116" width="9.140625" style="3" customWidth="1"/>
    <col min="4117" max="4352" width="9" style="3"/>
    <col min="4353" max="4353" width="5.140625" style="3" customWidth="1"/>
    <col min="4354" max="4354" width="19.85546875" style="3" customWidth="1"/>
    <col min="4355" max="4355" width="11.85546875" style="3" customWidth="1"/>
    <col min="4356" max="4372" width="9.140625" style="3" customWidth="1"/>
    <col min="4373" max="4608" width="9" style="3"/>
    <col min="4609" max="4609" width="5.140625" style="3" customWidth="1"/>
    <col min="4610" max="4610" width="19.85546875" style="3" customWidth="1"/>
    <col min="4611" max="4611" width="11.85546875" style="3" customWidth="1"/>
    <col min="4612" max="4628" width="9.140625" style="3" customWidth="1"/>
    <col min="4629" max="4864" width="9" style="3"/>
    <col min="4865" max="4865" width="5.140625" style="3" customWidth="1"/>
    <col min="4866" max="4866" width="19.85546875" style="3" customWidth="1"/>
    <col min="4867" max="4867" width="11.85546875" style="3" customWidth="1"/>
    <col min="4868" max="4884" width="9.140625" style="3" customWidth="1"/>
    <col min="4885" max="5120" width="9" style="3"/>
    <col min="5121" max="5121" width="5.140625" style="3" customWidth="1"/>
    <col min="5122" max="5122" width="19.85546875" style="3" customWidth="1"/>
    <col min="5123" max="5123" width="11.85546875" style="3" customWidth="1"/>
    <col min="5124" max="5140" width="9.140625" style="3" customWidth="1"/>
    <col min="5141" max="5376" width="9" style="3"/>
    <col min="5377" max="5377" width="5.140625" style="3" customWidth="1"/>
    <col min="5378" max="5378" width="19.85546875" style="3" customWidth="1"/>
    <col min="5379" max="5379" width="11.85546875" style="3" customWidth="1"/>
    <col min="5380" max="5396" width="9.140625" style="3" customWidth="1"/>
    <col min="5397" max="5632" width="9" style="3"/>
    <col min="5633" max="5633" width="5.140625" style="3" customWidth="1"/>
    <col min="5634" max="5634" width="19.85546875" style="3" customWidth="1"/>
    <col min="5635" max="5635" width="11.85546875" style="3" customWidth="1"/>
    <col min="5636" max="5652" width="9.140625" style="3" customWidth="1"/>
    <col min="5653" max="5888" width="9" style="3"/>
    <col min="5889" max="5889" width="5.140625" style="3" customWidth="1"/>
    <col min="5890" max="5890" width="19.85546875" style="3" customWidth="1"/>
    <col min="5891" max="5891" width="11.85546875" style="3" customWidth="1"/>
    <col min="5892" max="5908" width="9.140625" style="3" customWidth="1"/>
    <col min="5909" max="6144" width="9" style="3"/>
    <col min="6145" max="6145" width="5.140625" style="3" customWidth="1"/>
    <col min="6146" max="6146" width="19.85546875" style="3" customWidth="1"/>
    <col min="6147" max="6147" width="11.85546875" style="3" customWidth="1"/>
    <col min="6148" max="6164" width="9.140625" style="3" customWidth="1"/>
    <col min="6165" max="6400" width="9" style="3"/>
    <col min="6401" max="6401" width="5.140625" style="3" customWidth="1"/>
    <col min="6402" max="6402" width="19.85546875" style="3" customWidth="1"/>
    <col min="6403" max="6403" width="11.85546875" style="3" customWidth="1"/>
    <col min="6404" max="6420" width="9.140625" style="3" customWidth="1"/>
    <col min="6421" max="6656" width="9" style="3"/>
    <col min="6657" max="6657" width="5.140625" style="3" customWidth="1"/>
    <col min="6658" max="6658" width="19.85546875" style="3" customWidth="1"/>
    <col min="6659" max="6659" width="11.85546875" style="3" customWidth="1"/>
    <col min="6660" max="6676" width="9.140625" style="3" customWidth="1"/>
    <col min="6677" max="6912" width="9" style="3"/>
    <col min="6913" max="6913" width="5.140625" style="3" customWidth="1"/>
    <col min="6914" max="6914" width="19.85546875" style="3" customWidth="1"/>
    <col min="6915" max="6915" width="11.85546875" style="3" customWidth="1"/>
    <col min="6916" max="6932" width="9.140625" style="3" customWidth="1"/>
    <col min="6933" max="7168" width="9" style="3"/>
    <col min="7169" max="7169" width="5.140625" style="3" customWidth="1"/>
    <col min="7170" max="7170" width="19.85546875" style="3" customWidth="1"/>
    <col min="7171" max="7171" width="11.85546875" style="3" customWidth="1"/>
    <col min="7172" max="7188" width="9.140625" style="3" customWidth="1"/>
    <col min="7189" max="7424" width="9" style="3"/>
    <col min="7425" max="7425" width="5.140625" style="3" customWidth="1"/>
    <col min="7426" max="7426" width="19.85546875" style="3" customWidth="1"/>
    <col min="7427" max="7427" width="11.85546875" style="3" customWidth="1"/>
    <col min="7428" max="7444" width="9.140625" style="3" customWidth="1"/>
    <col min="7445" max="7680" width="9" style="3"/>
    <col min="7681" max="7681" width="5.140625" style="3" customWidth="1"/>
    <col min="7682" max="7682" width="19.85546875" style="3" customWidth="1"/>
    <col min="7683" max="7683" width="11.85546875" style="3" customWidth="1"/>
    <col min="7684" max="7700" width="9.140625" style="3" customWidth="1"/>
    <col min="7701" max="7936" width="9" style="3"/>
    <col min="7937" max="7937" width="5.140625" style="3" customWidth="1"/>
    <col min="7938" max="7938" width="19.85546875" style="3" customWidth="1"/>
    <col min="7939" max="7939" width="11.85546875" style="3" customWidth="1"/>
    <col min="7940" max="7956" width="9.140625" style="3" customWidth="1"/>
    <col min="7957" max="8192" width="9" style="3"/>
    <col min="8193" max="8193" width="5.140625" style="3" customWidth="1"/>
    <col min="8194" max="8194" width="19.85546875" style="3" customWidth="1"/>
    <col min="8195" max="8195" width="11.85546875" style="3" customWidth="1"/>
    <col min="8196" max="8212" width="9.140625" style="3" customWidth="1"/>
    <col min="8213" max="8448" width="9" style="3"/>
    <col min="8449" max="8449" width="5.140625" style="3" customWidth="1"/>
    <col min="8450" max="8450" width="19.85546875" style="3" customWidth="1"/>
    <col min="8451" max="8451" width="11.85546875" style="3" customWidth="1"/>
    <col min="8452" max="8468" width="9.140625" style="3" customWidth="1"/>
    <col min="8469" max="8704" width="9" style="3"/>
    <col min="8705" max="8705" width="5.140625" style="3" customWidth="1"/>
    <col min="8706" max="8706" width="19.85546875" style="3" customWidth="1"/>
    <col min="8707" max="8707" width="11.85546875" style="3" customWidth="1"/>
    <col min="8708" max="8724" width="9.140625" style="3" customWidth="1"/>
    <col min="8725" max="8960" width="9" style="3"/>
    <col min="8961" max="8961" width="5.140625" style="3" customWidth="1"/>
    <col min="8962" max="8962" width="19.85546875" style="3" customWidth="1"/>
    <col min="8963" max="8963" width="11.85546875" style="3" customWidth="1"/>
    <col min="8964" max="8980" width="9.140625" style="3" customWidth="1"/>
    <col min="8981" max="9216" width="9" style="3"/>
    <col min="9217" max="9217" width="5.140625" style="3" customWidth="1"/>
    <col min="9218" max="9218" width="19.85546875" style="3" customWidth="1"/>
    <col min="9219" max="9219" width="11.85546875" style="3" customWidth="1"/>
    <col min="9220" max="9236" width="9.140625" style="3" customWidth="1"/>
    <col min="9237" max="9472" width="9" style="3"/>
    <col min="9473" max="9473" width="5.140625" style="3" customWidth="1"/>
    <col min="9474" max="9474" width="19.85546875" style="3" customWidth="1"/>
    <col min="9475" max="9475" width="11.85546875" style="3" customWidth="1"/>
    <col min="9476" max="9492" width="9.140625" style="3" customWidth="1"/>
    <col min="9493" max="9728" width="9" style="3"/>
    <col min="9729" max="9729" width="5.140625" style="3" customWidth="1"/>
    <col min="9730" max="9730" width="19.85546875" style="3" customWidth="1"/>
    <col min="9731" max="9731" width="11.85546875" style="3" customWidth="1"/>
    <col min="9732" max="9748" width="9.140625" style="3" customWidth="1"/>
    <col min="9749" max="9984" width="9" style="3"/>
    <col min="9985" max="9985" width="5.140625" style="3" customWidth="1"/>
    <col min="9986" max="9986" width="19.85546875" style="3" customWidth="1"/>
    <col min="9987" max="9987" width="11.85546875" style="3" customWidth="1"/>
    <col min="9988" max="10004" width="9.140625" style="3" customWidth="1"/>
    <col min="10005" max="10240" width="9" style="3"/>
    <col min="10241" max="10241" width="5.140625" style="3" customWidth="1"/>
    <col min="10242" max="10242" width="19.85546875" style="3" customWidth="1"/>
    <col min="10243" max="10243" width="11.85546875" style="3" customWidth="1"/>
    <col min="10244" max="10260" width="9.140625" style="3" customWidth="1"/>
    <col min="10261" max="10496" width="9" style="3"/>
    <col min="10497" max="10497" width="5.140625" style="3" customWidth="1"/>
    <col min="10498" max="10498" width="19.85546875" style="3" customWidth="1"/>
    <col min="10499" max="10499" width="11.85546875" style="3" customWidth="1"/>
    <col min="10500" max="10516" width="9.140625" style="3" customWidth="1"/>
    <col min="10517" max="10752" width="9" style="3"/>
    <col min="10753" max="10753" width="5.140625" style="3" customWidth="1"/>
    <col min="10754" max="10754" width="19.85546875" style="3" customWidth="1"/>
    <col min="10755" max="10755" width="11.85546875" style="3" customWidth="1"/>
    <col min="10756" max="10772" width="9.140625" style="3" customWidth="1"/>
    <col min="10773" max="11008" width="9" style="3"/>
    <col min="11009" max="11009" width="5.140625" style="3" customWidth="1"/>
    <col min="11010" max="11010" width="19.85546875" style="3" customWidth="1"/>
    <col min="11011" max="11011" width="11.85546875" style="3" customWidth="1"/>
    <col min="11012" max="11028" width="9.140625" style="3" customWidth="1"/>
    <col min="11029" max="11264" width="9" style="3"/>
    <col min="11265" max="11265" width="5.140625" style="3" customWidth="1"/>
    <col min="11266" max="11266" width="19.85546875" style="3" customWidth="1"/>
    <col min="11267" max="11267" width="11.85546875" style="3" customWidth="1"/>
    <col min="11268" max="11284" width="9.140625" style="3" customWidth="1"/>
    <col min="11285" max="11520" width="9" style="3"/>
    <col min="11521" max="11521" width="5.140625" style="3" customWidth="1"/>
    <col min="11522" max="11522" width="19.85546875" style="3" customWidth="1"/>
    <col min="11523" max="11523" width="11.85546875" style="3" customWidth="1"/>
    <col min="11524" max="11540" width="9.140625" style="3" customWidth="1"/>
    <col min="11541" max="11776" width="9" style="3"/>
    <col min="11777" max="11777" width="5.140625" style="3" customWidth="1"/>
    <col min="11778" max="11778" width="19.85546875" style="3" customWidth="1"/>
    <col min="11779" max="11779" width="11.85546875" style="3" customWidth="1"/>
    <col min="11780" max="11796" width="9.140625" style="3" customWidth="1"/>
    <col min="11797" max="12032" width="9" style="3"/>
    <col min="12033" max="12033" width="5.140625" style="3" customWidth="1"/>
    <col min="12034" max="12034" width="19.85546875" style="3" customWidth="1"/>
    <col min="12035" max="12035" width="11.85546875" style="3" customWidth="1"/>
    <col min="12036" max="12052" width="9.140625" style="3" customWidth="1"/>
    <col min="12053" max="12288" width="9" style="3"/>
    <col min="12289" max="12289" width="5.140625" style="3" customWidth="1"/>
    <col min="12290" max="12290" width="19.85546875" style="3" customWidth="1"/>
    <col min="12291" max="12291" width="11.85546875" style="3" customWidth="1"/>
    <col min="12292" max="12308" width="9.140625" style="3" customWidth="1"/>
    <col min="12309" max="12544" width="9" style="3"/>
    <col min="12545" max="12545" width="5.140625" style="3" customWidth="1"/>
    <col min="12546" max="12546" width="19.85546875" style="3" customWidth="1"/>
    <col min="12547" max="12547" width="11.85546875" style="3" customWidth="1"/>
    <col min="12548" max="12564" width="9.140625" style="3" customWidth="1"/>
    <col min="12565" max="12800" width="9" style="3"/>
    <col min="12801" max="12801" width="5.140625" style="3" customWidth="1"/>
    <col min="12802" max="12802" width="19.85546875" style="3" customWidth="1"/>
    <col min="12803" max="12803" width="11.85546875" style="3" customWidth="1"/>
    <col min="12804" max="12820" width="9.140625" style="3" customWidth="1"/>
    <col min="12821" max="13056" width="9" style="3"/>
    <col min="13057" max="13057" width="5.140625" style="3" customWidth="1"/>
    <col min="13058" max="13058" width="19.85546875" style="3" customWidth="1"/>
    <col min="13059" max="13059" width="11.85546875" style="3" customWidth="1"/>
    <col min="13060" max="13076" width="9.140625" style="3" customWidth="1"/>
    <col min="13077" max="13312" width="9" style="3"/>
    <col min="13313" max="13313" width="5.140625" style="3" customWidth="1"/>
    <col min="13314" max="13314" width="19.85546875" style="3" customWidth="1"/>
    <col min="13315" max="13315" width="11.85546875" style="3" customWidth="1"/>
    <col min="13316" max="13332" width="9.140625" style="3" customWidth="1"/>
    <col min="13333" max="13568" width="9" style="3"/>
    <col min="13569" max="13569" width="5.140625" style="3" customWidth="1"/>
    <col min="13570" max="13570" width="19.85546875" style="3" customWidth="1"/>
    <col min="13571" max="13571" width="11.85546875" style="3" customWidth="1"/>
    <col min="13572" max="13588" width="9.140625" style="3" customWidth="1"/>
    <col min="13589" max="13824" width="9" style="3"/>
    <col min="13825" max="13825" width="5.140625" style="3" customWidth="1"/>
    <col min="13826" max="13826" width="19.85546875" style="3" customWidth="1"/>
    <col min="13827" max="13827" width="11.85546875" style="3" customWidth="1"/>
    <col min="13828" max="13844" width="9.140625" style="3" customWidth="1"/>
    <col min="13845" max="14080" width="9" style="3"/>
    <col min="14081" max="14081" width="5.140625" style="3" customWidth="1"/>
    <col min="14082" max="14082" width="19.85546875" style="3" customWidth="1"/>
    <col min="14083" max="14083" width="11.85546875" style="3" customWidth="1"/>
    <col min="14084" max="14100" width="9.140625" style="3" customWidth="1"/>
    <col min="14101" max="14336" width="9" style="3"/>
    <col min="14337" max="14337" width="5.140625" style="3" customWidth="1"/>
    <col min="14338" max="14338" width="19.85546875" style="3" customWidth="1"/>
    <col min="14339" max="14339" width="11.85546875" style="3" customWidth="1"/>
    <col min="14340" max="14356" width="9.140625" style="3" customWidth="1"/>
    <col min="14357" max="14592" width="9" style="3"/>
    <col min="14593" max="14593" width="5.140625" style="3" customWidth="1"/>
    <col min="14594" max="14594" width="19.85546875" style="3" customWidth="1"/>
    <col min="14595" max="14595" width="11.85546875" style="3" customWidth="1"/>
    <col min="14596" max="14612" width="9.140625" style="3" customWidth="1"/>
    <col min="14613" max="14848" width="9" style="3"/>
    <col min="14849" max="14849" width="5.140625" style="3" customWidth="1"/>
    <col min="14850" max="14850" width="19.85546875" style="3" customWidth="1"/>
    <col min="14851" max="14851" width="11.85546875" style="3" customWidth="1"/>
    <col min="14852" max="14868" width="9.140625" style="3" customWidth="1"/>
    <col min="14869" max="15104" width="9" style="3"/>
    <col min="15105" max="15105" width="5.140625" style="3" customWidth="1"/>
    <col min="15106" max="15106" width="19.85546875" style="3" customWidth="1"/>
    <col min="15107" max="15107" width="11.85546875" style="3" customWidth="1"/>
    <col min="15108" max="15124" width="9.140625" style="3" customWidth="1"/>
    <col min="15125" max="15360" width="9" style="3"/>
    <col min="15361" max="15361" width="5.140625" style="3" customWidth="1"/>
    <col min="15362" max="15362" width="19.85546875" style="3" customWidth="1"/>
    <col min="15363" max="15363" width="11.85546875" style="3" customWidth="1"/>
    <col min="15364" max="15380" width="9.140625" style="3" customWidth="1"/>
    <col min="15381" max="15616" width="9" style="3"/>
    <col min="15617" max="15617" width="5.140625" style="3" customWidth="1"/>
    <col min="15618" max="15618" width="19.85546875" style="3" customWidth="1"/>
    <col min="15619" max="15619" width="11.85546875" style="3" customWidth="1"/>
    <col min="15620" max="15636" width="9.140625" style="3" customWidth="1"/>
    <col min="15637" max="15872" width="9" style="3"/>
    <col min="15873" max="15873" width="5.140625" style="3" customWidth="1"/>
    <col min="15874" max="15874" width="19.85546875" style="3" customWidth="1"/>
    <col min="15875" max="15875" width="11.85546875" style="3" customWidth="1"/>
    <col min="15876" max="15892" width="9.140625" style="3" customWidth="1"/>
    <col min="15893" max="16128" width="9" style="3"/>
    <col min="16129" max="16129" width="5.140625" style="3" customWidth="1"/>
    <col min="16130" max="16130" width="19.85546875" style="3" customWidth="1"/>
    <col min="16131" max="16131" width="11.85546875" style="3" customWidth="1"/>
    <col min="16132" max="16148" width="9.140625" style="3" customWidth="1"/>
    <col min="16149" max="16384" width="9" style="3"/>
  </cols>
  <sheetData>
    <row r="1" spans="1:22" ht="34.5" thickBot="1" x14ac:dyDescent="0.3">
      <c r="A1" s="170" t="s">
        <v>69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2"/>
      <c r="U1" s="1"/>
      <c r="V1" s="1"/>
    </row>
    <row r="2" spans="1:22" ht="174" customHeight="1" thickBot="1" x14ac:dyDescent="0.3">
      <c r="A2" s="4" t="s">
        <v>0</v>
      </c>
      <c r="B2" s="5" t="s">
        <v>1</v>
      </c>
      <c r="C2" s="6" t="s">
        <v>2</v>
      </c>
      <c r="D2" s="7" t="s">
        <v>70</v>
      </c>
      <c r="E2" s="8" t="s">
        <v>71</v>
      </c>
      <c r="F2" s="7" t="s">
        <v>80</v>
      </c>
      <c r="G2" s="7" t="s">
        <v>81</v>
      </c>
      <c r="H2" s="7" t="s">
        <v>96</v>
      </c>
      <c r="I2" s="7" t="s">
        <v>95</v>
      </c>
      <c r="J2" s="8" t="s">
        <v>116</v>
      </c>
      <c r="K2" s="8" t="s">
        <v>117</v>
      </c>
      <c r="L2" s="8"/>
      <c r="M2" s="8"/>
      <c r="N2" s="8"/>
      <c r="O2" s="8"/>
      <c r="P2" s="8"/>
      <c r="Q2" s="8"/>
      <c r="R2" s="7"/>
      <c r="S2" s="7"/>
      <c r="T2" s="9" t="s">
        <v>3</v>
      </c>
      <c r="U2" s="10"/>
      <c r="V2" s="10"/>
    </row>
    <row r="3" spans="1:22" x14ac:dyDescent="0.25">
      <c r="A3" s="86" t="s">
        <v>4</v>
      </c>
      <c r="B3" s="14" t="s">
        <v>52</v>
      </c>
      <c r="C3" s="15" t="s">
        <v>42</v>
      </c>
      <c r="D3" s="17">
        <f>100-(107.62-107.03)/107.03*50</f>
        <v>99.724376343081374</v>
      </c>
      <c r="E3" s="17">
        <f>100-(76.23-73.75)/73.75*50</f>
        <v>98.318644067796612</v>
      </c>
      <c r="F3" s="72">
        <f>100-(32.62-27.93)/27.93*50</f>
        <v>91.604010025062664</v>
      </c>
      <c r="G3" s="17">
        <f>100-(88.92-73.68)/73.68*50</f>
        <v>89.657980456026067</v>
      </c>
      <c r="H3" s="25">
        <f>100-(51.63-39.4)/39.4*50</f>
        <v>84.479695431472081</v>
      </c>
      <c r="I3" s="166">
        <f>100-(106.97-77.05)/77.05*50</f>
        <v>80.584036340038935</v>
      </c>
      <c r="J3" s="18">
        <f>100-(41.85-37.52)/37.52*50</f>
        <v>94.229744136460553</v>
      </c>
      <c r="K3" s="18">
        <f>100-(67.43-63.85)/63.85*50</f>
        <v>97.196554424432264</v>
      </c>
      <c r="L3" s="17"/>
      <c r="M3" s="17"/>
      <c r="N3" s="18"/>
      <c r="O3" s="17"/>
      <c r="P3" s="25"/>
      <c r="Q3" s="25"/>
      <c r="R3" s="25"/>
      <c r="S3" s="58"/>
      <c r="T3" s="20">
        <f>SUM(D3:S3)-I3</f>
        <v>655.21100488433171</v>
      </c>
    </row>
    <row r="4" spans="1:22" x14ac:dyDescent="0.25">
      <c r="A4" s="22" t="s">
        <v>6</v>
      </c>
      <c r="B4" s="23" t="s">
        <v>55</v>
      </c>
      <c r="C4" s="24" t="s">
        <v>7</v>
      </c>
      <c r="D4" s="25">
        <f>100-(107.35-107.03)/107.03*50</f>
        <v>99.850509203027187</v>
      </c>
      <c r="E4" s="25">
        <f>100-(79.8-73.75)/73.75*50</f>
        <v>95.898305084745772</v>
      </c>
      <c r="F4" s="107"/>
      <c r="G4" s="25"/>
      <c r="H4" s="25">
        <f>100-(48.68-39.4)/39.4*50</f>
        <v>88.223350253807098</v>
      </c>
      <c r="I4" s="25">
        <f>100-(81.67-77.05)/77.05*50</f>
        <v>97.001946787800122</v>
      </c>
      <c r="J4" s="25">
        <f>100-(38.83-37.52)/37.52*50</f>
        <v>98.254264392324103</v>
      </c>
      <c r="K4" s="25">
        <f>100-(63.85-63.85)/63.85*50</f>
        <v>100</v>
      </c>
      <c r="L4" s="18"/>
      <c r="M4" s="37"/>
      <c r="N4" s="18"/>
      <c r="O4" s="25"/>
      <c r="P4" s="25"/>
      <c r="Q4" s="25"/>
      <c r="R4" s="25"/>
      <c r="S4" s="25"/>
      <c r="T4" s="26">
        <f t="shared" ref="T4:T12" si="0">SUM(D4:S4)</f>
        <v>579.22837572170431</v>
      </c>
    </row>
    <row r="5" spans="1:22" x14ac:dyDescent="0.25">
      <c r="A5" s="22" t="s">
        <v>8</v>
      </c>
      <c r="B5" s="23" t="s">
        <v>50</v>
      </c>
      <c r="C5" s="24" t="s">
        <v>22</v>
      </c>
      <c r="D5" s="25">
        <f>100-(107.03-107.03)/107.03*50</f>
        <v>100</v>
      </c>
      <c r="E5" s="25">
        <f>100-(73.75-73.75)/73.75*50</f>
        <v>100</v>
      </c>
      <c r="F5" s="25">
        <f>100-(31.32-27.93)/27.93*50</f>
        <v>93.931256713211596</v>
      </c>
      <c r="G5" s="119" t="s">
        <v>12</v>
      </c>
      <c r="H5" s="25">
        <f>100-(39.4-39.4)/39.4*50</f>
        <v>100</v>
      </c>
      <c r="I5" s="25">
        <f>100-(77.05-77.05)/77.05*50</f>
        <v>100</v>
      </c>
      <c r="J5" s="18"/>
      <c r="K5" s="18"/>
      <c r="L5" s="25"/>
      <c r="M5" s="25"/>
      <c r="N5" s="18"/>
      <c r="O5" s="120"/>
      <c r="P5" s="25"/>
      <c r="Q5" s="25"/>
      <c r="R5" s="25"/>
      <c r="S5" s="25"/>
      <c r="T5" s="26">
        <f t="shared" si="0"/>
        <v>493.93125671321161</v>
      </c>
    </row>
    <row r="6" spans="1:22" x14ac:dyDescent="0.25">
      <c r="A6" s="22" t="s">
        <v>11</v>
      </c>
      <c r="B6" s="23" t="s">
        <v>105</v>
      </c>
      <c r="C6" s="24" t="s">
        <v>106</v>
      </c>
      <c r="D6" s="25"/>
      <c r="E6" s="25"/>
      <c r="F6" s="18"/>
      <c r="G6" s="25"/>
      <c r="H6" s="25">
        <f>100-(44.17-39.4)/39.4*50</f>
        <v>93.94670050761421</v>
      </c>
      <c r="I6" s="18">
        <f>100-(96.57-77.05)/77.05*50</f>
        <v>87.332900713822198</v>
      </c>
      <c r="J6" s="18">
        <f>100-(39.22-37.52)/37.52*50</f>
        <v>97.734541577825169</v>
      </c>
      <c r="K6" s="18">
        <f>100-(67.82-63.85)/63.85*50</f>
        <v>96.891151135473777</v>
      </c>
      <c r="L6" s="18"/>
      <c r="M6" s="18"/>
      <c r="N6" s="25"/>
      <c r="O6" s="25"/>
      <c r="P6" s="25"/>
      <c r="Q6" s="25"/>
      <c r="R6" s="25"/>
      <c r="S6" s="25"/>
      <c r="T6" s="26">
        <f t="shared" si="0"/>
        <v>375.90529393473531</v>
      </c>
    </row>
    <row r="7" spans="1:22" x14ac:dyDescent="0.25">
      <c r="A7" s="22" t="s">
        <v>13</v>
      </c>
      <c r="B7" s="23" t="s">
        <v>53</v>
      </c>
      <c r="C7" s="24" t="s">
        <v>54</v>
      </c>
      <c r="D7" s="36">
        <f>100-(128.77-107.03)/107.03*50</f>
        <v>89.843968980659625</v>
      </c>
      <c r="E7" s="18">
        <f>100-(94.02-73.75)/73.75*50</f>
        <v>86.257627118644066</v>
      </c>
      <c r="F7" s="75"/>
      <c r="G7" s="21"/>
      <c r="H7" s="18"/>
      <c r="I7" s="58"/>
      <c r="J7" s="18">
        <f>100-(43.43-37.52)/37.52*50</f>
        <v>92.124200426439231</v>
      </c>
      <c r="K7" s="18">
        <f>100-(87.95-63.85)/63.85*50</f>
        <v>81.127642913077523</v>
      </c>
      <c r="L7" s="18"/>
      <c r="M7" s="18"/>
      <c r="N7" s="18"/>
      <c r="O7" s="18"/>
      <c r="P7" s="25"/>
      <c r="Q7" s="25"/>
      <c r="R7" s="25"/>
      <c r="S7" s="29"/>
      <c r="T7" s="26">
        <f t="shared" si="0"/>
        <v>349.35343943882043</v>
      </c>
    </row>
    <row r="8" spans="1:22" x14ac:dyDescent="0.25">
      <c r="A8" s="22" t="s">
        <v>15</v>
      </c>
      <c r="B8" s="23" t="s">
        <v>83</v>
      </c>
      <c r="C8" s="24" t="s">
        <v>56</v>
      </c>
      <c r="D8" s="58"/>
      <c r="E8" s="25"/>
      <c r="F8" s="25">
        <f>100-(27.93-27.93)/27.93*50</f>
        <v>100</v>
      </c>
      <c r="G8" s="107"/>
      <c r="H8" s="18"/>
      <c r="I8" s="25"/>
      <c r="J8" s="18">
        <f>100-(37.52-37.52)/37.52*50</f>
        <v>100</v>
      </c>
      <c r="K8" s="18">
        <f>100-(66.48-63.85)/63.85*50</f>
        <v>97.940485512920901</v>
      </c>
      <c r="L8" s="18"/>
      <c r="M8" s="19"/>
      <c r="N8" s="25"/>
      <c r="O8" s="25"/>
      <c r="P8" s="25"/>
      <c r="Q8" s="25"/>
      <c r="R8" s="18"/>
      <c r="S8" s="29"/>
      <c r="T8" s="26">
        <f t="shared" si="0"/>
        <v>297.94048551292087</v>
      </c>
    </row>
    <row r="9" spans="1:22" x14ac:dyDescent="0.25">
      <c r="A9" s="22" t="s">
        <v>18</v>
      </c>
      <c r="B9" s="23" t="s">
        <v>21</v>
      </c>
      <c r="C9" s="24" t="s">
        <v>22</v>
      </c>
      <c r="D9" s="35"/>
      <c r="E9" s="21"/>
      <c r="F9" s="18">
        <f>100-(32.42-27.93)/27.93*50</f>
        <v>91.962047977085575</v>
      </c>
      <c r="G9" s="25">
        <f>100-(73.68-73.68)/73.68*50</f>
        <v>100</v>
      </c>
      <c r="H9" s="58"/>
      <c r="I9" s="18"/>
      <c r="J9" s="21"/>
      <c r="K9" s="21"/>
      <c r="L9" s="18"/>
      <c r="M9" s="18"/>
      <c r="N9" s="18"/>
      <c r="O9" s="18"/>
      <c r="P9" s="18"/>
      <c r="Q9" s="18"/>
      <c r="R9" s="18"/>
      <c r="S9" s="29"/>
      <c r="T9" s="26">
        <f t="shared" si="0"/>
        <v>191.96204797708558</v>
      </c>
    </row>
    <row r="10" spans="1:22" x14ac:dyDescent="0.25">
      <c r="A10" s="22" t="s">
        <v>20</v>
      </c>
      <c r="B10" s="23" t="s">
        <v>130</v>
      </c>
      <c r="C10" s="24" t="s">
        <v>106</v>
      </c>
      <c r="D10" s="58"/>
      <c r="E10" s="25"/>
      <c r="F10" s="34"/>
      <c r="G10" s="34"/>
      <c r="H10" s="25"/>
      <c r="I10" s="25"/>
      <c r="J10" s="18">
        <f>100-(43.8-37.52)/37.52*50</f>
        <v>91.631130063965898</v>
      </c>
      <c r="K10" s="18">
        <f>100-(68.4-63.85)/63.85*50</f>
        <v>96.436961628817542</v>
      </c>
      <c r="L10" s="18"/>
      <c r="M10" s="120"/>
      <c r="N10" s="18"/>
      <c r="O10" s="18"/>
      <c r="P10" s="25"/>
      <c r="Q10" s="25"/>
      <c r="R10" s="25"/>
      <c r="S10" s="25"/>
      <c r="T10" s="26">
        <f t="shared" si="0"/>
        <v>188.06809169278344</v>
      </c>
    </row>
    <row r="11" spans="1:22" x14ac:dyDescent="0.25">
      <c r="A11" s="22" t="s">
        <v>23</v>
      </c>
      <c r="B11" s="108" t="s">
        <v>131</v>
      </c>
      <c r="C11" s="24"/>
      <c r="D11" s="110"/>
      <c r="E11" s="25"/>
      <c r="F11" s="75"/>
      <c r="G11" s="25"/>
      <c r="H11" s="59"/>
      <c r="I11" s="58"/>
      <c r="J11" s="18">
        <f>100-(53.22-37.52)/37.52*50</f>
        <v>79.077825159914724</v>
      </c>
      <c r="K11" s="18">
        <f>100-(91.48-63.85)/63.85*50</f>
        <v>78.363351605324979</v>
      </c>
      <c r="L11" s="18"/>
      <c r="M11" s="18"/>
      <c r="N11" s="59"/>
      <c r="O11" s="59"/>
      <c r="P11" s="21"/>
      <c r="Q11" s="21"/>
      <c r="R11" s="58"/>
      <c r="S11" s="111"/>
      <c r="T11" s="26">
        <f t="shared" si="0"/>
        <v>157.4411767652397</v>
      </c>
    </row>
    <row r="12" spans="1:22" x14ac:dyDescent="0.25">
      <c r="A12" s="22" t="s">
        <v>26</v>
      </c>
      <c r="B12" s="108" t="s">
        <v>57</v>
      </c>
      <c r="C12" s="109" t="s">
        <v>56</v>
      </c>
      <c r="D12" s="110"/>
      <c r="E12" s="58"/>
      <c r="F12" s="75"/>
      <c r="G12" s="25">
        <f>100-(100.07-73.68)/73.68*50</f>
        <v>82.091476655808918</v>
      </c>
      <c r="H12" s="59"/>
      <c r="I12" s="25"/>
      <c r="J12" s="21"/>
      <c r="K12" s="21"/>
      <c r="L12" s="18"/>
      <c r="M12" s="18"/>
      <c r="N12" s="112"/>
      <c r="O12" s="18"/>
      <c r="P12" s="25"/>
      <c r="Q12" s="25"/>
      <c r="R12" s="58"/>
      <c r="S12" s="111"/>
      <c r="T12" s="26">
        <f t="shared" si="0"/>
        <v>82.091476655808918</v>
      </c>
    </row>
    <row r="13" spans="1:22" x14ac:dyDescent="0.25">
      <c r="A13" s="22" t="s">
        <v>27</v>
      </c>
      <c r="B13" s="23"/>
      <c r="C13" s="24"/>
      <c r="D13" s="35"/>
      <c r="E13" s="21"/>
      <c r="F13" s="38"/>
      <c r="G13" s="21"/>
      <c r="H13" s="21"/>
      <c r="I13" s="18"/>
      <c r="J13" s="21"/>
      <c r="K13" s="21"/>
      <c r="L13" s="18"/>
      <c r="M13" s="18"/>
      <c r="N13" s="18"/>
      <c r="O13" s="18"/>
      <c r="P13" s="18"/>
      <c r="Q13" s="18"/>
      <c r="R13" s="21"/>
      <c r="S13" s="83"/>
      <c r="T13" s="26">
        <f t="shared" ref="T13:T18" si="1">SUM(D13:S13)</f>
        <v>0</v>
      </c>
    </row>
    <row r="14" spans="1:22" x14ac:dyDescent="0.25">
      <c r="A14" s="22" t="s">
        <v>29</v>
      </c>
      <c r="B14" s="23"/>
      <c r="C14" s="24"/>
      <c r="D14" s="35"/>
      <c r="E14" s="18"/>
      <c r="F14" s="38"/>
      <c r="G14" s="18"/>
      <c r="H14" s="21"/>
      <c r="I14" s="21"/>
      <c r="J14" s="21"/>
      <c r="K14" s="21"/>
      <c r="L14" s="18"/>
      <c r="M14" s="18"/>
      <c r="N14" s="21"/>
      <c r="O14" s="18"/>
      <c r="P14" s="18"/>
      <c r="Q14" s="18"/>
      <c r="R14" s="21"/>
      <c r="S14" s="24"/>
      <c r="T14" s="73">
        <f t="shared" si="1"/>
        <v>0</v>
      </c>
    </row>
    <row r="15" spans="1:22" x14ac:dyDescent="0.25">
      <c r="A15" s="22" t="s">
        <v>31</v>
      </c>
      <c r="B15" s="23"/>
      <c r="C15" s="24"/>
      <c r="D15" s="35"/>
      <c r="E15" s="18"/>
      <c r="F15" s="38"/>
      <c r="G15" s="18"/>
      <c r="H15" s="21"/>
      <c r="I15" s="21"/>
      <c r="J15" s="21"/>
      <c r="K15" s="21"/>
      <c r="L15" s="18"/>
      <c r="M15" s="18"/>
      <c r="N15" s="21"/>
      <c r="O15" s="18"/>
      <c r="P15" s="18"/>
      <c r="Q15" s="25"/>
      <c r="R15" s="21"/>
      <c r="S15" s="83"/>
      <c r="T15" s="73">
        <f t="shared" si="1"/>
        <v>0</v>
      </c>
    </row>
    <row r="16" spans="1:22" x14ac:dyDescent="0.25">
      <c r="A16" s="22" t="s">
        <v>32</v>
      </c>
      <c r="B16" s="23"/>
      <c r="C16" s="24"/>
      <c r="D16" s="35"/>
      <c r="E16" s="21"/>
      <c r="F16" s="38"/>
      <c r="G16" s="21"/>
      <c r="H16" s="21"/>
      <c r="I16" s="18"/>
      <c r="J16" s="21"/>
      <c r="K16" s="21"/>
      <c r="L16" s="18"/>
      <c r="M16" s="18"/>
      <c r="N16" s="18"/>
      <c r="O16" s="18"/>
      <c r="P16" s="18"/>
      <c r="Q16" s="18"/>
      <c r="R16" s="21"/>
      <c r="S16" s="83"/>
      <c r="T16" s="26">
        <f t="shared" si="1"/>
        <v>0</v>
      </c>
    </row>
    <row r="17" spans="1:20" x14ac:dyDescent="0.25">
      <c r="A17" s="22" t="s">
        <v>33</v>
      </c>
      <c r="B17" s="113"/>
      <c r="C17" s="114"/>
      <c r="D17" s="115"/>
      <c r="E17" s="82"/>
      <c r="F17" s="116"/>
      <c r="G17" s="116"/>
      <c r="H17" s="82"/>
      <c r="I17" s="82"/>
      <c r="J17" s="82"/>
      <c r="K17" s="82"/>
      <c r="L17" s="82"/>
      <c r="M17" s="117"/>
      <c r="N17" s="82"/>
      <c r="O17" s="82"/>
      <c r="P17" s="25"/>
      <c r="Q17" s="25"/>
      <c r="R17" s="25"/>
      <c r="S17" s="25"/>
      <c r="T17" s="26">
        <f t="shared" si="1"/>
        <v>0</v>
      </c>
    </row>
    <row r="18" spans="1:20" ht="15.75" thickBot="1" x14ac:dyDescent="0.3">
      <c r="A18" s="39" t="s">
        <v>34</v>
      </c>
      <c r="B18" s="40"/>
      <c r="C18" s="41"/>
      <c r="D18" s="61"/>
      <c r="E18" s="63"/>
      <c r="F18" s="77"/>
      <c r="G18" s="63"/>
      <c r="H18" s="63"/>
      <c r="I18" s="43"/>
      <c r="J18" s="63"/>
      <c r="K18" s="63"/>
      <c r="L18" s="43"/>
      <c r="M18" s="43"/>
      <c r="N18" s="43"/>
      <c r="O18" s="43"/>
      <c r="P18" s="46"/>
      <c r="Q18" s="46"/>
      <c r="R18" s="118"/>
      <c r="S18" s="62"/>
      <c r="T18" s="48">
        <f t="shared" si="1"/>
        <v>0</v>
      </c>
    </row>
    <row r="19" spans="1:20" x14ac:dyDescent="0.25">
      <c r="A19" s="2"/>
      <c r="B19" s="2"/>
      <c r="C19" s="2"/>
      <c r="D19" s="2"/>
      <c r="E19" s="2"/>
      <c r="F19" s="53"/>
      <c r="G19" s="2"/>
      <c r="H19" s="2"/>
      <c r="I19" s="2"/>
      <c r="J19" s="2"/>
      <c r="K19" s="2"/>
      <c r="L19" s="2"/>
      <c r="M19" s="85"/>
      <c r="N19" s="2"/>
      <c r="O19" s="2"/>
      <c r="P19" s="2"/>
      <c r="Q19" s="2"/>
      <c r="R19" s="2"/>
      <c r="S19" s="2"/>
      <c r="T19" s="52"/>
    </row>
    <row r="20" spans="1:20" x14ac:dyDescent="0.25">
      <c r="A20" s="2"/>
      <c r="B20" s="2"/>
      <c r="C20" s="2"/>
      <c r="D20" s="2"/>
      <c r="E20" s="2"/>
      <c r="F20" s="53"/>
      <c r="G20" s="2"/>
      <c r="H20" s="2"/>
      <c r="I20" s="2"/>
      <c r="J20" s="2"/>
      <c r="K20" s="2"/>
      <c r="L20" s="2"/>
      <c r="M20" s="2"/>
      <c r="N20" s="49"/>
      <c r="O20" s="49"/>
      <c r="P20" s="49"/>
      <c r="Q20" s="49"/>
      <c r="R20" s="2"/>
      <c r="S20" s="2"/>
      <c r="T20" s="52"/>
    </row>
    <row r="21" spans="1:20" x14ac:dyDescent="0.25">
      <c r="A21" s="2"/>
      <c r="B21" s="2"/>
      <c r="C21" s="2"/>
      <c r="D21" s="2"/>
      <c r="E21" s="2"/>
      <c r="F21" s="53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s="54" customFormat="1" x14ac:dyDescent="0.25">
      <c r="A22" s="54" t="s">
        <v>36</v>
      </c>
    </row>
    <row r="23" spans="1:20" s="55" customFormat="1" x14ac:dyDescent="0.25">
      <c r="A23" s="55" t="s">
        <v>37</v>
      </c>
    </row>
  </sheetData>
  <sortState ref="B3:T12">
    <sortCondition descending="1" ref="T3"/>
  </sortState>
  <mergeCells count="1">
    <mergeCell ref="A1:T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workbookViewId="0">
      <selection activeCell="V5" sqref="V5"/>
    </sheetView>
  </sheetViews>
  <sheetFormatPr defaultColWidth="9" defaultRowHeight="15" x14ac:dyDescent="0.25"/>
  <cols>
    <col min="1" max="1" width="5.140625" style="3" customWidth="1"/>
    <col min="2" max="2" width="25.28515625" style="3" customWidth="1"/>
    <col min="3" max="3" width="11.85546875" style="3" customWidth="1"/>
    <col min="4" max="5" width="9.140625" style="3" customWidth="1"/>
    <col min="6" max="6" width="9.140625" style="56" customWidth="1"/>
    <col min="7" max="20" width="9.140625" style="3" customWidth="1"/>
    <col min="21" max="30" width="9" style="2"/>
    <col min="31" max="256" width="9" style="3"/>
    <col min="257" max="257" width="5.140625" style="3" customWidth="1"/>
    <col min="258" max="258" width="25.28515625" style="3" customWidth="1"/>
    <col min="259" max="259" width="11.85546875" style="3" customWidth="1"/>
    <col min="260" max="276" width="9.140625" style="3" customWidth="1"/>
    <col min="277" max="512" width="9" style="3"/>
    <col min="513" max="513" width="5.140625" style="3" customWidth="1"/>
    <col min="514" max="514" width="25.28515625" style="3" customWidth="1"/>
    <col min="515" max="515" width="11.85546875" style="3" customWidth="1"/>
    <col min="516" max="532" width="9.140625" style="3" customWidth="1"/>
    <col min="533" max="768" width="9" style="3"/>
    <col min="769" max="769" width="5.140625" style="3" customWidth="1"/>
    <col min="770" max="770" width="25.28515625" style="3" customWidth="1"/>
    <col min="771" max="771" width="11.85546875" style="3" customWidth="1"/>
    <col min="772" max="788" width="9.140625" style="3" customWidth="1"/>
    <col min="789" max="1024" width="9" style="3"/>
    <col min="1025" max="1025" width="5.140625" style="3" customWidth="1"/>
    <col min="1026" max="1026" width="25.28515625" style="3" customWidth="1"/>
    <col min="1027" max="1027" width="11.85546875" style="3" customWidth="1"/>
    <col min="1028" max="1044" width="9.140625" style="3" customWidth="1"/>
    <col min="1045" max="1280" width="9" style="3"/>
    <col min="1281" max="1281" width="5.140625" style="3" customWidth="1"/>
    <col min="1282" max="1282" width="25.28515625" style="3" customWidth="1"/>
    <col min="1283" max="1283" width="11.85546875" style="3" customWidth="1"/>
    <col min="1284" max="1300" width="9.140625" style="3" customWidth="1"/>
    <col min="1301" max="1536" width="9" style="3"/>
    <col min="1537" max="1537" width="5.140625" style="3" customWidth="1"/>
    <col min="1538" max="1538" width="25.28515625" style="3" customWidth="1"/>
    <col min="1539" max="1539" width="11.85546875" style="3" customWidth="1"/>
    <col min="1540" max="1556" width="9.140625" style="3" customWidth="1"/>
    <col min="1557" max="1792" width="9" style="3"/>
    <col min="1793" max="1793" width="5.140625" style="3" customWidth="1"/>
    <col min="1794" max="1794" width="25.28515625" style="3" customWidth="1"/>
    <col min="1795" max="1795" width="11.85546875" style="3" customWidth="1"/>
    <col min="1796" max="1812" width="9.140625" style="3" customWidth="1"/>
    <col min="1813" max="2048" width="9" style="3"/>
    <col min="2049" max="2049" width="5.140625" style="3" customWidth="1"/>
    <col min="2050" max="2050" width="25.28515625" style="3" customWidth="1"/>
    <col min="2051" max="2051" width="11.85546875" style="3" customWidth="1"/>
    <col min="2052" max="2068" width="9.140625" style="3" customWidth="1"/>
    <col min="2069" max="2304" width="9" style="3"/>
    <col min="2305" max="2305" width="5.140625" style="3" customWidth="1"/>
    <col min="2306" max="2306" width="25.28515625" style="3" customWidth="1"/>
    <col min="2307" max="2307" width="11.85546875" style="3" customWidth="1"/>
    <col min="2308" max="2324" width="9.140625" style="3" customWidth="1"/>
    <col min="2325" max="2560" width="9" style="3"/>
    <col min="2561" max="2561" width="5.140625" style="3" customWidth="1"/>
    <col min="2562" max="2562" width="25.28515625" style="3" customWidth="1"/>
    <col min="2563" max="2563" width="11.85546875" style="3" customWidth="1"/>
    <col min="2564" max="2580" width="9.140625" style="3" customWidth="1"/>
    <col min="2581" max="2816" width="9" style="3"/>
    <col min="2817" max="2817" width="5.140625" style="3" customWidth="1"/>
    <col min="2818" max="2818" width="25.28515625" style="3" customWidth="1"/>
    <col min="2819" max="2819" width="11.85546875" style="3" customWidth="1"/>
    <col min="2820" max="2836" width="9.140625" style="3" customWidth="1"/>
    <col min="2837" max="3072" width="9" style="3"/>
    <col min="3073" max="3073" width="5.140625" style="3" customWidth="1"/>
    <col min="3074" max="3074" width="25.28515625" style="3" customWidth="1"/>
    <col min="3075" max="3075" width="11.85546875" style="3" customWidth="1"/>
    <col min="3076" max="3092" width="9.140625" style="3" customWidth="1"/>
    <col min="3093" max="3328" width="9" style="3"/>
    <col min="3329" max="3329" width="5.140625" style="3" customWidth="1"/>
    <col min="3330" max="3330" width="25.28515625" style="3" customWidth="1"/>
    <col min="3331" max="3331" width="11.85546875" style="3" customWidth="1"/>
    <col min="3332" max="3348" width="9.140625" style="3" customWidth="1"/>
    <col min="3349" max="3584" width="9" style="3"/>
    <col min="3585" max="3585" width="5.140625" style="3" customWidth="1"/>
    <col min="3586" max="3586" width="25.28515625" style="3" customWidth="1"/>
    <col min="3587" max="3587" width="11.85546875" style="3" customWidth="1"/>
    <col min="3588" max="3604" width="9.140625" style="3" customWidth="1"/>
    <col min="3605" max="3840" width="9" style="3"/>
    <col min="3841" max="3841" width="5.140625" style="3" customWidth="1"/>
    <col min="3842" max="3842" width="25.28515625" style="3" customWidth="1"/>
    <col min="3843" max="3843" width="11.85546875" style="3" customWidth="1"/>
    <col min="3844" max="3860" width="9.140625" style="3" customWidth="1"/>
    <col min="3861" max="4096" width="9" style="3"/>
    <col min="4097" max="4097" width="5.140625" style="3" customWidth="1"/>
    <col min="4098" max="4098" width="25.28515625" style="3" customWidth="1"/>
    <col min="4099" max="4099" width="11.85546875" style="3" customWidth="1"/>
    <col min="4100" max="4116" width="9.140625" style="3" customWidth="1"/>
    <col min="4117" max="4352" width="9" style="3"/>
    <col min="4353" max="4353" width="5.140625" style="3" customWidth="1"/>
    <col min="4354" max="4354" width="25.28515625" style="3" customWidth="1"/>
    <col min="4355" max="4355" width="11.85546875" style="3" customWidth="1"/>
    <col min="4356" max="4372" width="9.140625" style="3" customWidth="1"/>
    <col min="4373" max="4608" width="9" style="3"/>
    <col min="4609" max="4609" width="5.140625" style="3" customWidth="1"/>
    <col min="4610" max="4610" width="25.28515625" style="3" customWidth="1"/>
    <col min="4611" max="4611" width="11.85546875" style="3" customWidth="1"/>
    <col min="4612" max="4628" width="9.140625" style="3" customWidth="1"/>
    <col min="4629" max="4864" width="9" style="3"/>
    <col min="4865" max="4865" width="5.140625" style="3" customWidth="1"/>
    <col min="4866" max="4866" width="25.28515625" style="3" customWidth="1"/>
    <col min="4867" max="4867" width="11.85546875" style="3" customWidth="1"/>
    <col min="4868" max="4884" width="9.140625" style="3" customWidth="1"/>
    <col min="4885" max="5120" width="9" style="3"/>
    <col min="5121" max="5121" width="5.140625" style="3" customWidth="1"/>
    <col min="5122" max="5122" width="25.28515625" style="3" customWidth="1"/>
    <col min="5123" max="5123" width="11.85546875" style="3" customWidth="1"/>
    <col min="5124" max="5140" width="9.140625" style="3" customWidth="1"/>
    <col min="5141" max="5376" width="9" style="3"/>
    <col min="5377" max="5377" width="5.140625" style="3" customWidth="1"/>
    <col min="5378" max="5378" width="25.28515625" style="3" customWidth="1"/>
    <col min="5379" max="5379" width="11.85546875" style="3" customWidth="1"/>
    <col min="5380" max="5396" width="9.140625" style="3" customWidth="1"/>
    <col min="5397" max="5632" width="9" style="3"/>
    <col min="5633" max="5633" width="5.140625" style="3" customWidth="1"/>
    <col min="5634" max="5634" width="25.28515625" style="3" customWidth="1"/>
    <col min="5635" max="5635" width="11.85546875" style="3" customWidth="1"/>
    <col min="5636" max="5652" width="9.140625" style="3" customWidth="1"/>
    <col min="5653" max="5888" width="9" style="3"/>
    <col min="5889" max="5889" width="5.140625" style="3" customWidth="1"/>
    <col min="5890" max="5890" width="25.28515625" style="3" customWidth="1"/>
    <col min="5891" max="5891" width="11.85546875" style="3" customWidth="1"/>
    <col min="5892" max="5908" width="9.140625" style="3" customWidth="1"/>
    <col min="5909" max="6144" width="9" style="3"/>
    <col min="6145" max="6145" width="5.140625" style="3" customWidth="1"/>
    <col min="6146" max="6146" width="25.28515625" style="3" customWidth="1"/>
    <col min="6147" max="6147" width="11.85546875" style="3" customWidth="1"/>
    <col min="6148" max="6164" width="9.140625" style="3" customWidth="1"/>
    <col min="6165" max="6400" width="9" style="3"/>
    <col min="6401" max="6401" width="5.140625" style="3" customWidth="1"/>
    <col min="6402" max="6402" width="25.28515625" style="3" customWidth="1"/>
    <col min="6403" max="6403" width="11.85546875" style="3" customWidth="1"/>
    <col min="6404" max="6420" width="9.140625" style="3" customWidth="1"/>
    <col min="6421" max="6656" width="9" style="3"/>
    <col min="6657" max="6657" width="5.140625" style="3" customWidth="1"/>
    <col min="6658" max="6658" width="25.28515625" style="3" customWidth="1"/>
    <col min="6659" max="6659" width="11.85546875" style="3" customWidth="1"/>
    <col min="6660" max="6676" width="9.140625" style="3" customWidth="1"/>
    <col min="6677" max="6912" width="9" style="3"/>
    <col min="6913" max="6913" width="5.140625" style="3" customWidth="1"/>
    <col min="6914" max="6914" width="25.28515625" style="3" customWidth="1"/>
    <col min="6915" max="6915" width="11.85546875" style="3" customWidth="1"/>
    <col min="6916" max="6932" width="9.140625" style="3" customWidth="1"/>
    <col min="6933" max="7168" width="9" style="3"/>
    <col min="7169" max="7169" width="5.140625" style="3" customWidth="1"/>
    <col min="7170" max="7170" width="25.28515625" style="3" customWidth="1"/>
    <col min="7171" max="7171" width="11.85546875" style="3" customWidth="1"/>
    <col min="7172" max="7188" width="9.140625" style="3" customWidth="1"/>
    <col min="7189" max="7424" width="9" style="3"/>
    <col min="7425" max="7425" width="5.140625" style="3" customWidth="1"/>
    <col min="7426" max="7426" width="25.28515625" style="3" customWidth="1"/>
    <col min="7427" max="7427" width="11.85546875" style="3" customWidth="1"/>
    <col min="7428" max="7444" width="9.140625" style="3" customWidth="1"/>
    <col min="7445" max="7680" width="9" style="3"/>
    <col min="7681" max="7681" width="5.140625" style="3" customWidth="1"/>
    <col min="7682" max="7682" width="25.28515625" style="3" customWidth="1"/>
    <col min="7683" max="7683" width="11.85546875" style="3" customWidth="1"/>
    <col min="7684" max="7700" width="9.140625" style="3" customWidth="1"/>
    <col min="7701" max="7936" width="9" style="3"/>
    <col min="7937" max="7937" width="5.140625" style="3" customWidth="1"/>
    <col min="7938" max="7938" width="25.28515625" style="3" customWidth="1"/>
    <col min="7939" max="7939" width="11.85546875" style="3" customWidth="1"/>
    <col min="7940" max="7956" width="9.140625" style="3" customWidth="1"/>
    <col min="7957" max="8192" width="9" style="3"/>
    <col min="8193" max="8193" width="5.140625" style="3" customWidth="1"/>
    <col min="8194" max="8194" width="25.28515625" style="3" customWidth="1"/>
    <col min="8195" max="8195" width="11.85546875" style="3" customWidth="1"/>
    <col min="8196" max="8212" width="9.140625" style="3" customWidth="1"/>
    <col min="8213" max="8448" width="9" style="3"/>
    <col min="8449" max="8449" width="5.140625" style="3" customWidth="1"/>
    <col min="8450" max="8450" width="25.28515625" style="3" customWidth="1"/>
    <col min="8451" max="8451" width="11.85546875" style="3" customWidth="1"/>
    <col min="8452" max="8468" width="9.140625" style="3" customWidth="1"/>
    <col min="8469" max="8704" width="9" style="3"/>
    <col min="8705" max="8705" width="5.140625" style="3" customWidth="1"/>
    <col min="8706" max="8706" width="25.28515625" style="3" customWidth="1"/>
    <col min="8707" max="8707" width="11.85546875" style="3" customWidth="1"/>
    <col min="8708" max="8724" width="9.140625" style="3" customWidth="1"/>
    <col min="8725" max="8960" width="9" style="3"/>
    <col min="8961" max="8961" width="5.140625" style="3" customWidth="1"/>
    <col min="8962" max="8962" width="25.28515625" style="3" customWidth="1"/>
    <col min="8963" max="8963" width="11.85546875" style="3" customWidth="1"/>
    <col min="8964" max="8980" width="9.140625" style="3" customWidth="1"/>
    <col min="8981" max="9216" width="9" style="3"/>
    <col min="9217" max="9217" width="5.140625" style="3" customWidth="1"/>
    <col min="9218" max="9218" width="25.28515625" style="3" customWidth="1"/>
    <col min="9219" max="9219" width="11.85546875" style="3" customWidth="1"/>
    <col min="9220" max="9236" width="9.140625" style="3" customWidth="1"/>
    <col min="9237" max="9472" width="9" style="3"/>
    <col min="9473" max="9473" width="5.140625" style="3" customWidth="1"/>
    <col min="9474" max="9474" width="25.28515625" style="3" customWidth="1"/>
    <col min="9475" max="9475" width="11.85546875" style="3" customWidth="1"/>
    <col min="9476" max="9492" width="9.140625" style="3" customWidth="1"/>
    <col min="9493" max="9728" width="9" style="3"/>
    <col min="9729" max="9729" width="5.140625" style="3" customWidth="1"/>
    <col min="9730" max="9730" width="25.28515625" style="3" customWidth="1"/>
    <col min="9731" max="9731" width="11.85546875" style="3" customWidth="1"/>
    <col min="9732" max="9748" width="9.140625" style="3" customWidth="1"/>
    <col min="9749" max="9984" width="9" style="3"/>
    <col min="9985" max="9985" width="5.140625" style="3" customWidth="1"/>
    <col min="9986" max="9986" width="25.28515625" style="3" customWidth="1"/>
    <col min="9987" max="9987" width="11.85546875" style="3" customWidth="1"/>
    <col min="9988" max="10004" width="9.140625" style="3" customWidth="1"/>
    <col min="10005" max="10240" width="9" style="3"/>
    <col min="10241" max="10241" width="5.140625" style="3" customWidth="1"/>
    <col min="10242" max="10242" width="25.28515625" style="3" customWidth="1"/>
    <col min="10243" max="10243" width="11.85546875" style="3" customWidth="1"/>
    <col min="10244" max="10260" width="9.140625" style="3" customWidth="1"/>
    <col min="10261" max="10496" width="9" style="3"/>
    <col min="10497" max="10497" width="5.140625" style="3" customWidth="1"/>
    <col min="10498" max="10498" width="25.28515625" style="3" customWidth="1"/>
    <col min="10499" max="10499" width="11.85546875" style="3" customWidth="1"/>
    <col min="10500" max="10516" width="9.140625" style="3" customWidth="1"/>
    <col min="10517" max="10752" width="9" style="3"/>
    <col min="10753" max="10753" width="5.140625" style="3" customWidth="1"/>
    <col min="10754" max="10754" width="25.28515625" style="3" customWidth="1"/>
    <col min="10755" max="10755" width="11.85546875" style="3" customWidth="1"/>
    <col min="10756" max="10772" width="9.140625" style="3" customWidth="1"/>
    <col min="10773" max="11008" width="9" style="3"/>
    <col min="11009" max="11009" width="5.140625" style="3" customWidth="1"/>
    <col min="11010" max="11010" width="25.28515625" style="3" customWidth="1"/>
    <col min="11011" max="11011" width="11.85546875" style="3" customWidth="1"/>
    <col min="11012" max="11028" width="9.140625" style="3" customWidth="1"/>
    <col min="11029" max="11264" width="9" style="3"/>
    <col min="11265" max="11265" width="5.140625" style="3" customWidth="1"/>
    <col min="11266" max="11266" width="25.28515625" style="3" customWidth="1"/>
    <col min="11267" max="11267" width="11.85546875" style="3" customWidth="1"/>
    <col min="11268" max="11284" width="9.140625" style="3" customWidth="1"/>
    <col min="11285" max="11520" width="9" style="3"/>
    <col min="11521" max="11521" width="5.140625" style="3" customWidth="1"/>
    <col min="11522" max="11522" width="25.28515625" style="3" customWidth="1"/>
    <col min="11523" max="11523" width="11.85546875" style="3" customWidth="1"/>
    <col min="11524" max="11540" width="9.140625" style="3" customWidth="1"/>
    <col min="11541" max="11776" width="9" style="3"/>
    <col min="11777" max="11777" width="5.140625" style="3" customWidth="1"/>
    <col min="11778" max="11778" width="25.28515625" style="3" customWidth="1"/>
    <col min="11779" max="11779" width="11.85546875" style="3" customWidth="1"/>
    <col min="11780" max="11796" width="9.140625" style="3" customWidth="1"/>
    <col min="11797" max="12032" width="9" style="3"/>
    <col min="12033" max="12033" width="5.140625" style="3" customWidth="1"/>
    <col min="12034" max="12034" width="25.28515625" style="3" customWidth="1"/>
    <col min="12035" max="12035" width="11.85546875" style="3" customWidth="1"/>
    <col min="12036" max="12052" width="9.140625" style="3" customWidth="1"/>
    <col min="12053" max="12288" width="9" style="3"/>
    <col min="12289" max="12289" width="5.140625" style="3" customWidth="1"/>
    <col min="12290" max="12290" width="25.28515625" style="3" customWidth="1"/>
    <col min="12291" max="12291" width="11.85546875" style="3" customWidth="1"/>
    <col min="12292" max="12308" width="9.140625" style="3" customWidth="1"/>
    <col min="12309" max="12544" width="9" style="3"/>
    <col min="12545" max="12545" width="5.140625" style="3" customWidth="1"/>
    <col min="12546" max="12546" width="25.28515625" style="3" customWidth="1"/>
    <col min="12547" max="12547" width="11.85546875" style="3" customWidth="1"/>
    <col min="12548" max="12564" width="9.140625" style="3" customWidth="1"/>
    <col min="12565" max="12800" width="9" style="3"/>
    <col min="12801" max="12801" width="5.140625" style="3" customWidth="1"/>
    <col min="12802" max="12802" width="25.28515625" style="3" customWidth="1"/>
    <col min="12803" max="12803" width="11.85546875" style="3" customWidth="1"/>
    <col min="12804" max="12820" width="9.140625" style="3" customWidth="1"/>
    <col min="12821" max="13056" width="9" style="3"/>
    <col min="13057" max="13057" width="5.140625" style="3" customWidth="1"/>
    <col min="13058" max="13058" width="25.28515625" style="3" customWidth="1"/>
    <col min="13059" max="13059" width="11.85546875" style="3" customWidth="1"/>
    <col min="13060" max="13076" width="9.140625" style="3" customWidth="1"/>
    <col min="13077" max="13312" width="9" style="3"/>
    <col min="13313" max="13313" width="5.140625" style="3" customWidth="1"/>
    <col min="13314" max="13314" width="25.28515625" style="3" customWidth="1"/>
    <col min="13315" max="13315" width="11.85546875" style="3" customWidth="1"/>
    <col min="13316" max="13332" width="9.140625" style="3" customWidth="1"/>
    <col min="13333" max="13568" width="9" style="3"/>
    <col min="13569" max="13569" width="5.140625" style="3" customWidth="1"/>
    <col min="13570" max="13570" width="25.28515625" style="3" customWidth="1"/>
    <col min="13571" max="13571" width="11.85546875" style="3" customWidth="1"/>
    <col min="13572" max="13588" width="9.140625" style="3" customWidth="1"/>
    <col min="13589" max="13824" width="9" style="3"/>
    <col min="13825" max="13825" width="5.140625" style="3" customWidth="1"/>
    <col min="13826" max="13826" width="25.28515625" style="3" customWidth="1"/>
    <col min="13827" max="13827" width="11.85546875" style="3" customWidth="1"/>
    <col min="13828" max="13844" width="9.140625" style="3" customWidth="1"/>
    <col min="13845" max="14080" width="9" style="3"/>
    <col min="14081" max="14081" width="5.140625" style="3" customWidth="1"/>
    <col min="14082" max="14082" width="25.28515625" style="3" customWidth="1"/>
    <col min="14083" max="14083" width="11.85546875" style="3" customWidth="1"/>
    <col min="14084" max="14100" width="9.140625" style="3" customWidth="1"/>
    <col min="14101" max="14336" width="9" style="3"/>
    <col min="14337" max="14337" width="5.140625" style="3" customWidth="1"/>
    <col min="14338" max="14338" width="25.28515625" style="3" customWidth="1"/>
    <col min="14339" max="14339" width="11.85546875" style="3" customWidth="1"/>
    <col min="14340" max="14356" width="9.140625" style="3" customWidth="1"/>
    <col min="14357" max="14592" width="9" style="3"/>
    <col min="14593" max="14593" width="5.140625" style="3" customWidth="1"/>
    <col min="14594" max="14594" width="25.28515625" style="3" customWidth="1"/>
    <col min="14595" max="14595" width="11.85546875" style="3" customWidth="1"/>
    <col min="14596" max="14612" width="9.140625" style="3" customWidth="1"/>
    <col min="14613" max="14848" width="9" style="3"/>
    <col min="14849" max="14849" width="5.140625" style="3" customWidth="1"/>
    <col min="14850" max="14850" width="25.28515625" style="3" customWidth="1"/>
    <col min="14851" max="14851" width="11.85546875" style="3" customWidth="1"/>
    <col min="14852" max="14868" width="9.140625" style="3" customWidth="1"/>
    <col min="14869" max="15104" width="9" style="3"/>
    <col min="15105" max="15105" width="5.140625" style="3" customWidth="1"/>
    <col min="15106" max="15106" width="25.28515625" style="3" customWidth="1"/>
    <col min="15107" max="15107" width="11.85546875" style="3" customWidth="1"/>
    <col min="15108" max="15124" width="9.140625" style="3" customWidth="1"/>
    <col min="15125" max="15360" width="9" style="3"/>
    <col min="15361" max="15361" width="5.140625" style="3" customWidth="1"/>
    <col min="15362" max="15362" width="25.28515625" style="3" customWidth="1"/>
    <col min="15363" max="15363" width="11.85546875" style="3" customWidth="1"/>
    <col min="15364" max="15380" width="9.140625" style="3" customWidth="1"/>
    <col min="15381" max="15616" width="9" style="3"/>
    <col min="15617" max="15617" width="5.140625" style="3" customWidth="1"/>
    <col min="15618" max="15618" width="25.28515625" style="3" customWidth="1"/>
    <col min="15619" max="15619" width="11.85546875" style="3" customWidth="1"/>
    <col min="15620" max="15636" width="9.140625" style="3" customWidth="1"/>
    <col min="15637" max="15872" width="9" style="3"/>
    <col min="15873" max="15873" width="5.140625" style="3" customWidth="1"/>
    <col min="15874" max="15874" width="25.28515625" style="3" customWidth="1"/>
    <col min="15875" max="15875" width="11.85546875" style="3" customWidth="1"/>
    <col min="15876" max="15892" width="9.140625" style="3" customWidth="1"/>
    <col min="15893" max="16128" width="9" style="3"/>
    <col min="16129" max="16129" width="5.140625" style="3" customWidth="1"/>
    <col min="16130" max="16130" width="25.28515625" style="3" customWidth="1"/>
    <col min="16131" max="16131" width="11.85546875" style="3" customWidth="1"/>
    <col min="16132" max="16148" width="9.140625" style="3" customWidth="1"/>
    <col min="16149" max="16384" width="9" style="3"/>
  </cols>
  <sheetData>
    <row r="1" spans="1:22" ht="34.5" thickBot="1" x14ac:dyDescent="0.3">
      <c r="A1" s="170" t="s">
        <v>69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2"/>
      <c r="U1" s="1"/>
      <c r="V1" s="1"/>
    </row>
    <row r="2" spans="1:22" ht="167.25" customHeight="1" thickBot="1" x14ac:dyDescent="0.3">
      <c r="A2" s="4" t="s">
        <v>0</v>
      </c>
      <c r="B2" s="5" t="s">
        <v>1</v>
      </c>
      <c r="C2" s="6" t="s">
        <v>2</v>
      </c>
      <c r="D2" s="7" t="s">
        <v>70</v>
      </c>
      <c r="E2" s="8" t="s">
        <v>71</v>
      </c>
      <c r="F2" s="7" t="s">
        <v>80</v>
      </c>
      <c r="G2" s="7" t="s">
        <v>81</v>
      </c>
      <c r="H2" s="7" t="s">
        <v>96</v>
      </c>
      <c r="I2" s="7" t="s">
        <v>95</v>
      </c>
      <c r="J2" s="8" t="s">
        <v>116</v>
      </c>
      <c r="K2" s="8" t="s">
        <v>117</v>
      </c>
      <c r="L2" s="8"/>
      <c r="M2" s="8"/>
      <c r="N2" s="8"/>
      <c r="O2" s="8"/>
      <c r="P2" s="8"/>
      <c r="Q2" s="8"/>
      <c r="R2" s="7"/>
      <c r="S2" s="7"/>
      <c r="T2" s="9" t="s">
        <v>3</v>
      </c>
      <c r="U2" s="10"/>
      <c r="V2" s="10"/>
    </row>
    <row r="3" spans="1:22" x14ac:dyDescent="0.25">
      <c r="A3" s="86" t="s">
        <v>4</v>
      </c>
      <c r="B3" s="14" t="s">
        <v>93</v>
      </c>
      <c r="C3" s="15"/>
      <c r="D3" s="17"/>
      <c r="E3" s="17"/>
      <c r="F3" s="29">
        <f>100-(59.55-59.55)/59.55*50</f>
        <v>100</v>
      </c>
      <c r="G3" s="143" t="s">
        <v>12</v>
      </c>
      <c r="H3" s="17"/>
      <c r="I3" s="18"/>
      <c r="J3" s="17">
        <f>100-(38.93-31.87)/31.87*50</f>
        <v>88.923752745528716</v>
      </c>
      <c r="K3" s="17">
        <f>100-(75.2-74.7)/74.7*50</f>
        <v>99.66532797858099</v>
      </c>
      <c r="L3" s="57"/>
      <c r="M3" s="57"/>
      <c r="N3" s="17"/>
      <c r="O3" s="17"/>
      <c r="P3" s="17"/>
      <c r="Q3" s="17"/>
      <c r="R3" s="17"/>
      <c r="S3" s="106"/>
      <c r="T3" s="20">
        <f t="shared" ref="T3:T8" si="0">SUM(D3:S3)</f>
        <v>288.58908072410969</v>
      </c>
    </row>
    <row r="4" spans="1:22" x14ac:dyDescent="0.25">
      <c r="A4" s="92" t="s">
        <v>6</v>
      </c>
      <c r="B4" s="23" t="s">
        <v>45</v>
      </c>
      <c r="C4" s="24" t="s">
        <v>39</v>
      </c>
      <c r="D4" s="36"/>
      <c r="E4" s="25"/>
      <c r="F4" s="29"/>
      <c r="G4" s="25"/>
      <c r="H4" s="25">
        <f>100-(31.98-31.98)/31.98*50</f>
        <v>100</v>
      </c>
      <c r="I4" s="25">
        <f>100-(66.05-66.05)/66.05*50</f>
        <v>100</v>
      </c>
      <c r="J4" s="29"/>
      <c r="K4" s="29"/>
      <c r="L4" s="18"/>
      <c r="M4" s="18"/>
      <c r="N4" s="18"/>
      <c r="O4" s="18"/>
      <c r="P4" s="18"/>
      <c r="Q4" s="18"/>
      <c r="R4" s="18"/>
      <c r="S4" s="29"/>
      <c r="T4" s="26">
        <f t="shared" si="0"/>
        <v>200</v>
      </c>
    </row>
    <row r="5" spans="1:22" x14ac:dyDescent="0.25">
      <c r="A5" s="92" t="s">
        <v>8</v>
      </c>
      <c r="B5" s="23" t="s">
        <v>141</v>
      </c>
      <c r="C5" s="24"/>
      <c r="D5" s="21"/>
      <c r="E5" s="18"/>
      <c r="F5" s="18">
        <f>100-(114.78-59.55)/59.55*50</f>
        <v>53.627204030226693</v>
      </c>
      <c r="G5" s="18"/>
      <c r="H5" s="83"/>
      <c r="I5" s="83"/>
      <c r="J5" s="29">
        <f>100-(57.58-31.87)/31.87*50</f>
        <v>59.664261060558523</v>
      </c>
      <c r="K5" s="29">
        <f>100-(96.25-74.7)/74.7*50</f>
        <v>85.575635876840693</v>
      </c>
      <c r="L5" s="18"/>
      <c r="M5" s="18"/>
      <c r="N5" s="18"/>
      <c r="O5" s="18"/>
      <c r="P5" s="18"/>
      <c r="Q5" s="18"/>
      <c r="R5" s="18"/>
      <c r="S5" s="18"/>
      <c r="T5" s="26">
        <f t="shared" si="0"/>
        <v>198.8671009676259</v>
      </c>
    </row>
    <row r="6" spans="1:22" x14ac:dyDescent="0.25">
      <c r="A6" s="92" t="s">
        <v>11</v>
      </c>
      <c r="B6" s="23" t="s">
        <v>139</v>
      </c>
      <c r="C6" s="24" t="s">
        <v>56</v>
      </c>
      <c r="D6" s="35"/>
      <c r="E6" s="21"/>
      <c r="F6" s="25"/>
      <c r="G6" s="25"/>
      <c r="H6" s="18"/>
      <c r="I6" s="18"/>
      <c r="J6" s="29">
        <f>100-(40.98-31.87)/31.87*50</f>
        <v>85.707561970505182</v>
      </c>
      <c r="K6" s="18">
        <f>100-(74.7-74.7)/74.7*50</f>
        <v>100</v>
      </c>
      <c r="L6" s="18"/>
      <c r="M6" s="21"/>
      <c r="N6" s="21"/>
      <c r="O6" s="21"/>
      <c r="P6" s="21"/>
      <c r="Q6" s="21"/>
      <c r="R6" s="21"/>
      <c r="S6" s="83"/>
      <c r="T6" s="26">
        <f t="shared" si="0"/>
        <v>185.7075619705052</v>
      </c>
    </row>
    <row r="7" spans="1:22" x14ac:dyDescent="0.25">
      <c r="A7" s="92" t="s">
        <v>13</v>
      </c>
      <c r="B7" s="23" t="s">
        <v>140</v>
      </c>
      <c r="C7" s="24"/>
      <c r="D7" s="21"/>
      <c r="E7" s="18"/>
      <c r="F7" s="107"/>
      <c r="G7" s="107"/>
      <c r="H7" s="25"/>
      <c r="I7" s="18"/>
      <c r="J7" s="29">
        <f>100-(44.82-31.87)/31.87*50</f>
        <v>79.683087543144026</v>
      </c>
      <c r="K7" s="29">
        <f>100-(99.05-74.7)/74.7*50</f>
        <v>83.701472556894245</v>
      </c>
      <c r="L7" s="18"/>
      <c r="M7" s="18"/>
      <c r="N7" s="18"/>
      <c r="O7" s="18"/>
      <c r="P7" s="18"/>
      <c r="Q7" s="18"/>
      <c r="R7" s="18"/>
      <c r="S7" s="18"/>
      <c r="T7" s="26">
        <f t="shared" si="0"/>
        <v>163.38456010003827</v>
      </c>
    </row>
    <row r="8" spans="1:22" x14ac:dyDescent="0.25">
      <c r="A8" s="92" t="s">
        <v>15</v>
      </c>
      <c r="B8" s="23" t="s">
        <v>138</v>
      </c>
      <c r="C8" s="24" t="s">
        <v>77</v>
      </c>
      <c r="D8" s="35"/>
      <c r="E8" s="21"/>
      <c r="F8" s="18"/>
      <c r="G8" s="25"/>
      <c r="H8" s="18"/>
      <c r="I8" s="18"/>
      <c r="J8" s="29">
        <f>100-(31.87-31.87)/31.87*50</f>
        <v>100</v>
      </c>
      <c r="K8" s="83"/>
      <c r="L8" s="18"/>
      <c r="M8" s="18"/>
      <c r="N8" s="18"/>
      <c r="O8" s="18"/>
      <c r="P8" s="18"/>
      <c r="Q8" s="18"/>
      <c r="R8" s="21"/>
      <c r="S8" s="21"/>
      <c r="T8" s="26">
        <f t="shared" si="0"/>
        <v>100</v>
      </c>
    </row>
    <row r="9" spans="1:22" x14ac:dyDescent="0.25">
      <c r="A9" s="92" t="s">
        <v>18</v>
      </c>
      <c r="B9" s="23"/>
      <c r="C9" s="24"/>
      <c r="D9" s="18"/>
      <c r="E9" s="18"/>
      <c r="F9" s="34"/>
      <c r="G9" s="107"/>
      <c r="H9" s="25"/>
      <c r="I9" s="18"/>
      <c r="J9" s="18"/>
      <c r="K9" s="25"/>
      <c r="L9" s="18"/>
      <c r="M9" s="18"/>
      <c r="N9" s="18"/>
      <c r="O9" s="18"/>
      <c r="P9" s="18"/>
      <c r="Q9" s="18"/>
      <c r="R9" s="18"/>
      <c r="S9" s="18"/>
      <c r="T9" s="26">
        <f t="shared" ref="T9:T11" si="1">SUM(D9:S9)</f>
        <v>0</v>
      </c>
    </row>
    <row r="10" spans="1:22" x14ac:dyDescent="0.25">
      <c r="A10" s="92" t="s">
        <v>20</v>
      </c>
      <c r="B10" s="23"/>
      <c r="C10" s="24"/>
      <c r="D10" s="35"/>
      <c r="E10" s="21"/>
      <c r="F10" s="38"/>
      <c r="G10" s="25"/>
      <c r="H10" s="58"/>
      <c r="I10" s="21"/>
      <c r="J10" s="21"/>
      <c r="K10" s="58"/>
      <c r="L10" s="21"/>
      <c r="M10" s="18"/>
      <c r="N10" s="21"/>
      <c r="O10" s="21"/>
      <c r="P10" s="21"/>
      <c r="Q10" s="21"/>
      <c r="R10" s="21"/>
      <c r="S10" s="18"/>
      <c r="T10" s="26">
        <f t="shared" si="1"/>
        <v>0</v>
      </c>
    </row>
    <row r="11" spans="1:22" ht="15.75" thickBot="1" x14ac:dyDescent="0.3">
      <c r="A11" s="93" t="s">
        <v>23</v>
      </c>
      <c r="B11" s="40"/>
      <c r="C11" s="41"/>
      <c r="D11" s="61"/>
      <c r="E11" s="43"/>
      <c r="F11" s="44"/>
      <c r="G11" s="101"/>
      <c r="H11" s="43"/>
      <c r="I11" s="43"/>
      <c r="J11" s="43"/>
      <c r="K11" s="46"/>
      <c r="L11" s="43"/>
      <c r="M11" s="43"/>
      <c r="N11" s="43"/>
      <c r="O11" s="43"/>
      <c r="P11" s="43"/>
      <c r="Q11" s="43"/>
      <c r="R11" s="43"/>
      <c r="S11" s="43"/>
      <c r="T11" s="48">
        <f t="shared" si="1"/>
        <v>0</v>
      </c>
    </row>
    <row r="12" spans="1:22" x14ac:dyDescent="0.25">
      <c r="A12" s="2"/>
      <c r="B12" s="2"/>
      <c r="C12" s="2"/>
      <c r="D12" s="2"/>
      <c r="E12" s="2"/>
      <c r="F12" s="53"/>
      <c r="G12" s="2"/>
      <c r="H12" s="2"/>
      <c r="I12" s="2"/>
      <c r="J12" s="2"/>
      <c r="K12" s="2"/>
      <c r="L12" s="2"/>
      <c r="M12" s="85"/>
      <c r="N12" s="2"/>
      <c r="O12" s="2"/>
      <c r="P12" s="2"/>
      <c r="Q12" s="2"/>
      <c r="R12" s="2"/>
      <c r="S12" s="2"/>
      <c r="T12" s="52"/>
    </row>
    <row r="13" spans="1:22" x14ac:dyDescent="0.25">
      <c r="A13" s="2"/>
      <c r="B13" s="2"/>
      <c r="C13" s="2"/>
      <c r="D13" s="2"/>
      <c r="E13" s="2"/>
      <c r="F13" s="53"/>
      <c r="G13" s="2"/>
      <c r="H13" s="2"/>
      <c r="I13" s="2"/>
      <c r="J13" s="2"/>
      <c r="K13" s="2"/>
      <c r="L13" s="2"/>
      <c r="M13" s="2"/>
      <c r="N13" s="49"/>
      <c r="O13" s="49"/>
      <c r="P13" s="49"/>
      <c r="Q13" s="49"/>
      <c r="R13" s="2"/>
      <c r="S13" s="2"/>
      <c r="T13" s="52"/>
    </row>
    <row r="14" spans="1:22" x14ac:dyDescent="0.25">
      <c r="A14" s="2"/>
      <c r="B14" s="2"/>
      <c r="C14" s="2"/>
      <c r="D14" s="2"/>
      <c r="E14" s="2"/>
      <c r="F14" s="53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2" s="54" customFormat="1" x14ac:dyDescent="0.25">
      <c r="A15" s="54" t="s">
        <v>36</v>
      </c>
    </row>
    <row r="16" spans="1:22" s="55" customFormat="1" x14ac:dyDescent="0.25">
      <c r="A16" s="55" t="s">
        <v>37</v>
      </c>
    </row>
  </sheetData>
  <sortState ref="B3:T8">
    <sortCondition descending="1" ref="T3"/>
  </sortState>
  <mergeCells count="1">
    <mergeCell ref="A1:T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workbookViewId="0">
      <selection activeCell="X12" sqref="X12"/>
    </sheetView>
  </sheetViews>
  <sheetFormatPr defaultColWidth="9" defaultRowHeight="15" x14ac:dyDescent="0.25"/>
  <cols>
    <col min="1" max="1" width="4.85546875" style="3" customWidth="1"/>
    <col min="2" max="2" width="17.85546875" style="3" customWidth="1"/>
    <col min="3" max="3" width="18.140625" style="3" customWidth="1"/>
    <col min="4" max="5" width="9.140625" style="3" customWidth="1"/>
    <col min="6" max="6" width="9.140625" style="56" customWidth="1"/>
    <col min="7" max="20" width="9.140625" style="3" customWidth="1"/>
    <col min="21" max="23" width="9" style="2"/>
    <col min="24" max="256" width="9" style="3"/>
    <col min="257" max="257" width="4.85546875" style="3" customWidth="1"/>
    <col min="258" max="258" width="17.85546875" style="3" customWidth="1"/>
    <col min="259" max="259" width="18.140625" style="3" customWidth="1"/>
    <col min="260" max="276" width="9.140625" style="3" customWidth="1"/>
    <col min="277" max="512" width="9" style="3"/>
    <col min="513" max="513" width="4.85546875" style="3" customWidth="1"/>
    <col min="514" max="514" width="17.85546875" style="3" customWidth="1"/>
    <col min="515" max="515" width="18.140625" style="3" customWidth="1"/>
    <col min="516" max="532" width="9.140625" style="3" customWidth="1"/>
    <col min="533" max="768" width="9" style="3"/>
    <col min="769" max="769" width="4.85546875" style="3" customWidth="1"/>
    <col min="770" max="770" width="17.85546875" style="3" customWidth="1"/>
    <col min="771" max="771" width="18.140625" style="3" customWidth="1"/>
    <col min="772" max="788" width="9.140625" style="3" customWidth="1"/>
    <col min="789" max="1024" width="9" style="3"/>
    <col min="1025" max="1025" width="4.85546875" style="3" customWidth="1"/>
    <col min="1026" max="1026" width="17.85546875" style="3" customWidth="1"/>
    <col min="1027" max="1027" width="18.140625" style="3" customWidth="1"/>
    <col min="1028" max="1044" width="9.140625" style="3" customWidth="1"/>
    <col min="1045" max="1280" width="9" style="3"/>
    <col min="1281" max="1281" width="4.85546875" style="3" customWidth="1"/>
    <col min="1282" max="1282" width="17.85546875" style="3" customWidth="1"/>
    <col min="1283" max="1283" width="18.140625" style="3" customWidth="1"/>
    <col min="1284" max="1300" width="9.140625" style="3" customWidth="1"/>
    <col min="1301" max="1536" width="9" style="3"/>
    <col min="1537" max="1537" width="4.85546875" style="3" customWidth="1"/>
    <col min="1538" max="1538" width="17.85546875" style="3" customWidth="1"/>
    <col min="1539" max="1539" width="18.140625" style="3" customWidth="1"/>
    <col min="1540" max="1556" width="9.140625" style="3" customWidth="1"/>
    <col min="1557" max="1792" width="9" style="3"/>
    <col min="1793" max="1793" width="4.85546875" style="3" customWidth="1"/>
    <col min="1794" max="1794" width="17.85546875" style="3" customWidth="1"/>
    <col min="1795" max="1795" width="18.140625" style="3" customWidth="1"/>
    <col min="1796" max="1812" width="9.140625" style="3" customWidth="1"/>
    <col min="1813" max="2048" width="9" style="3"/>
    <col min="2049" max="2049" width="4.85546875" style="3" customWidth="1"/>
    <col min="2050" max="2050" width="17.85546875" style="3" customWidth="1"/>
    <col min="2051" max="2051" width="18.140625" style="3" customWidth="1"/>
    <col min="2052" max="2068" width="9.140625" style="3" customWidth="1"/>
    <col min="2069" max="2304" width="9" style="3"/>
    <col min="2305" max="2305" width="4.85546875" style="3" customWidth="1"/>
    <col min="2306" max="2306" width="17.85546875" style="3" customWidth="1"/>
    <col min="2307" max="2307" width="18.140625" style="3" customWidth="1"/>
    <col min="2308" max="2324" width="9.140625" style="3" customWidth="1"/>
    <col min="2325" max="2560" width="9" style="3"/>
    <col min="2561" max="2561" width="4.85546875" style="3" customWidth="1"/>
    <col min="2562" max="2562" width="17.85546875" style="3" customWidth="1"/>
    <col min="2563" max="2563" width="18.140625" style="3" customWidth="1"/>
    <col min="2564" max="2580" width="9.140625" style="3" customWidth="1"/>
    <col min="2581" max="2816" width="9" style="3"/>
    <col min="2817" max="2817" width="4.85546875" style="3" customWidth="1"/>
    <col min="2818" max="2818" width="17.85546875" style="3" customWidth="1"/>
    <col min="2819" max="2819" width="18.140625" style="3" customWidth="1"/>
    <col min="2820" max="2836" width="9.140625" style="3" customWidth="1"/>
    <col min="2837" max="3072" width="9" style="3"/>
    <col min="3073" max="3073" width="4.85546875" style="3" customWidth="1"/>
    <col min="3074" max="3074" width="17.85546875" style="3" customWidth="1"/>
    <col min="3075" max="3075" width="18.140625" style="3" customWidth="1"/>
    <col min="3076" max="3092" width="9.140625" style="3" customWidth="1"/>
    <col min="3093" max="3328" width="9" style="3"/>
    <col min="3329" max="3329" width="4.85546875" style="3" customWidth="1"/>
    <col min="3330" max="3330" width="17.85546875" style="3" customWidth="1"/>
    <col min="3331" max="3331" width="18.140625" style="3" customWidth="1"/>
    <col min="3332" max="3348" width="9.140625" style="3" customWidth="1"/>
    <col min="3349" max="3584" width="9" style="3"/>
    <col min="3585" max="3585" width="4.85546875" style="3" customWidth="1"/>
    <col min="3586" max="3586" width="17.85546875" style="3" customWidth="1"/>
    <col min="3587" max="3587" width="18.140625" style="3" customWidth="1"/>
    <col min="3588" max="3604" width="9.140625" style="3" customWidth="1"/>
    <col min="3605" max="3840" width="9" style="3"/>
    <col min="3841" max="3841" width="4.85546875" style="3" customWidth="1"/>
    <col min="3842" max="3842" width="17.85546875" style="3" customWidth="1"/>
    <col min="3843" max="3843" width="18.140625" style="3" customWidth="1"/>
    <col min="3844" max="3860" width="9.140625" style="3" customWidth="1"/>
    <col min="3861" max="4096" width="9" style="3"/>
    <col min="4097" max="4097" width="4.85546875" style="3" customWidth="1"/>
    <col min="4098" max="4098" width="17.85546875" style="3" customWidth="1"/>
    <col min="4099" max="4099" width="18.140625" style="3" customWidth="1"/>
    <col min="4100" max="4116" width="9.140625" style="3" customWidth="1"/>
    <col min="4117" max="4352" width="9" style="3"/>
    <col min="4353" max="4353" width="4.85546875" style="3" customWidth="1"/>
    <col min="4354" max="4354" width="17.85546875" style="3" customWidth="1"/>
    <col min="4355" max="4355" width="18.140625" style="3" customWidth="1"/>
    <col min="4356" max="4372" width="9.140625" style="3" customWidth="1"/>
    <col min="4373" max="4608" width="9" style="3"/>
    <col min="4609" max="4609" width="4.85546875" style="3" customWidth="1"/>
    <col min="4610" max="4610" width="17.85546875" style="3" customWidth="1"/>
    <col min="4611" max="4611" width="18.140625" style="3" customWidth="1"/>
    <col min="4612" max="4628" width="9.140625" style="3" customWidth="1"/>
    <col min="4629" max="4864" width="9" style="3"/>
    <col min="4865" max="4865" width="4.85546875" style="3" customWidth="1"/>
    <col min="4866" max="4866" width="17.85546875" style="3" customWidth="1"/>
    <col min="4867" max="4867" width="18.140625" style="3" customWidth="1"/>
    <col min="4868" max="4884" width="9.140625" style="3" customWidth="1"/>
    <col min="4885" max="5120" width="9" style="3"/>
    <col min="5121" max="5121" width="4.85546875" style="3" customWidth="1"/>
    <col min="5122" max="5122" width="17.85546875" style="3" customWidth="1"/>
    <col min="5123" max="5123" width="18.140625" style="3" customWidth="1"/>
    <col min="5124" max="5140" width="9.140625" style="3" customWidth="1"/>
    <col min="5141" max="5376" width="9" style="3"/>
    <col min="5377" max="5377" width="4.85546875" style="3" customWidth="1"/>
    <col min="5378" max="5378" width="17.85546875" style="3" customWidth="1"/>
    <col min="5379" max="5379" width="18.140625" style="3" customWidth="1"/>
    <col min="5380" max="5396" width="9.140625" style="3" customWidth="1"/>
    <col min="5397" max="5632" width="9" style="3"/>
    <col min="5633" max="5633" width="4.85546875" style="3" customWidth="1"/>
    <col min="5634" max="5634" width="17.85546875" style="3" customWidth="1"/>
    <col min="5635" max="5635" width="18.140625" style="3" customWidth="1"/>
    <col min="5636" max="5652" width="9.140625" style="3" customWidth="1"/>
    <col min="5653" max="5888" width="9" style="3"/>
    <col min="5889" max="5889" width="4.85546875" style="3" customWidth="1"/>
    <col min="5890" max="5890" width="17.85546875" style="3" customWidth="1"/>
    <col min="5891" max="5891" width="18.140625" style="3" customWidth="1"/>
    <col min="5892" max="5908" width="9.140625" style="3" customWidth="1"/>
    <col min="5909" max="6144" width="9" style="3"/>
    <col min="6145" max="6145" width="4.85546875" style="3" customWidth="1"/>
    <col min="6146" max="6146" width="17.85546875" style="3" customWidth="1"/>
    <col min="6147" max="6147" width="18.140625" style="3" customWidth="1"/>
    <col min="6148" max="6164" width="9.140625" style="3" customWidth="1"/>
    <col min="6165" max="6400" width="9" style="3"/>
    <col min="6401" max="6401" width="4.85546875" style="3" customWidth="1"/>
    <col min="6402" max="6402" width="17.85546875" style="3" customWidth="1"/>
    <col min="6403" max="6403" width="18.140625" style="3" customWidth="1"/>
    <col min="6404" max="6420" width="9.140625" style="3" customWidth="1"/>
    <col min="6421" max="6656" width="9" style="3"/>
    <col min="6657" max="6657" width="4.85546875" style="3" customWidth="1"/>
    <col min="6658" max="6658" width="17.85546875" style="3" customWidth="1"/>
    <col min="6659" max="6659" width="18.140625" style="3" customWidth="1"/>
    <col min="6660" max="6676" width="9.140625" style="3" customWidth="1"/>
    <col min="6677" max="6912" width="9" style="3"/>
    <col min="6913" max="6913" width="4.85546875" style="3" customWidth="1"/>
    <col min="6914" max="6914" width="17.85546875" style="3" customWidth="1"/>
    <col min="6915" max="6915" width="18.140625" style="3" customWidth="1"/>
    <col min="6916" max="6932" width="9.140625" style="3" customWidth="1"/>
    <col min="6933" max="7168" width="9" style="3"/>
    <col min="7169" max="7169" width="4.85546875" style="3" customWidth="1"/>
    <col min="7170" max="7170" width="17.85546875" style="3" customWidth="1"/>
    <col min="7171" max="7171" width="18.140625" style="3" customWidth="1"/>
    <col min="7172" max="7188" width="9.140625" style="3" customWidth="1"/>
    <col min="7189" max="7424" width="9" style="3"/>
    <col min="7425" max="7425" width="4.85546875" style="3" customWidth="1"/>
    <col min="7426" max="7426" width="17.85546875" style="3" customWidth="1"/>
    <col min="7427" max="7427" width="18.140625" style="3" customWidth="1"/>
    <col min="7428" max="7444" width="9.140625" style="3" customWidth="1"/>
    <col min="7445" max="7680" width="9" style="3"/>
    <col min="7681" max="7681" width="4.85546875" style="3" customWidth="1"/>
    <col min="7682" max="7682" width="17.85546875" style="3" customWidth="1"/>
    <col min="7683" max="7683" width="18.140625" style="3" customWidth="1"/>
    <col min="7684" max="7700" width="9.140625" style="3" customWidth="1"/>
    <col min="7701" max="7936" width="9" style="3"/>
    <col min="7937" max="7937" width="4.85546875" style="3" customWidth="1"/>
    <col min="7938" max="7938" width="17.85546875" style="3" customWidth="1"/>
    <col min="7939" max="7939" width="18.140625" style="3" customWidth="1"/>
    <col min="7940" max="7956" width="9.140625" style="3" customWidth="1"/>
    <col min="7957" max="8192" width="9" style="3"/>
    <col min="8193" max="8193" width="4.85546875" style="3" customWidth="1"/>
    <col min="8194" max="8194" width="17.85546875" style="3" customWidth="1"/>
    <col min="8195" max="8195" width="18.140625" style="3" customWidth="1"/>
    <col min="8196" max="8212" width="9.140625" style="3" customWidth="1"/>
    <col min="8213" max="8448" width="9" style="3"/>
    <col min="8449" max="8449" width="4.85546875" style="3" customWidth="1"/>
    <col min="8450" max="8450" width="17.85546875" style="3" customWidth="1"/>
    <col min="8451" max="8451" width="18.140625" style="3" customWidth="1"/>
    <col min="8452" max="8468" width="9.140625" style="3" customWidth="1"/>
    <col min="8469" max="8704" width="9" style="3"/>
    <col min="8705" max="8705" width="4.85546875" style="3" customWidth="1"/>
    <col min="8706" max="8706" width="17.85546875" style="3" customWidth="1"/>
    <col min="8707" max="8707" width="18.140625" style="3" customWidth="1"/>
    <col min="8708" max="8724" width="9.140625" style="3" customWidth="1"/>
    <col min="8725" max="8960" width="9" style="3"/>
    <col min="8961" max="8961" width="4.85546875" style="3" customWidth="1"/>
    <col min="8962" max="8962" width="17.85546875" style="3" customWidth="1"/>
    <col min="8963" max="8963" width="18.140625" style="3" customWidth="1"/>
    <col min="8964" max="8980" width="9.140625" style="3" customWidth="1"/>
    <col min="8981" max="9216" width="9" style="3"/>
    <col min="9217" max="9217" width="4.85546875" style="3" customWidth="1"/>
    <col min="9218" max="9218" width="17.85546875" style="3" customWidth="1"/>
    <col min="9219" max="9219" width="18.140625" style="3" customWidth="1"/>
    <col min="9220" max="9236" width="9.140625" style="3" customWidth="1"/>
    <col min="9237" max="9472" width="9" style="3"/>
    <col min="9473" max="9473" width="4.85546875" style="3" customWidth="1"/>
    <col min="9474" max="9474" width="17.85546875" style="3" customWidth="1"/>
    <col min="9475" max="9475" width="18.140625" style="3" customWidth="1"/>
    <col min="9476" max="9492" width="9.140625" style="3" customWidth="1"/>
    <col min="9493" max="9728" width="9" style="3"/>
    <col min="9729" max="9729" width="4.85546875" style="3" customWidth="1"/>
    <col min="9730" max="9730" width="17.85546875" style="3" customWidth="1"/>
    <col min="9731" max="9731" width="18.140625" style="3" customWidth="1"/>
    <col min="9732" max="9748" width="9.140625" style="3" customWidth="1"/>
    <col min="9749" max="9984" width="9" style="3"/>
    <col min="9985" max="9985" width="4.85546875" style="3" customWidth="1"/>
    <col min="9986" max="9986" width="17.85546875" style="3" customWidth="1"/>
    <col min="9987" max="9987" width="18.140625" style="3" customWidth="1"/>
    <col min="9988" max="10004" width="9.140625" style="3" customWidth="1"/>
    <col min="10005" max="10240" width="9" style="3"/>
    <col min="10241" max="10241" width="4.85546875" style="3" customWidth="1"/>
    <col min="10242" max="10242" width="17.85546875" style="3" customWidth="1"/>
    <col min="10243" max="10243" width="18.140625" style="3" customWidth="1"/>
    <col min="10244" max="10260" width="9.140625" style="3" customWidth="1"/>
    <col min="10261" max="10496" width="9" style="3"/>
    <col min="10497" max="10497" width="4.85546875" style="3" customWidth="1"/>
    <col min="10498" max="10498" width="17.85546875" style="3" customWidth="1"/>
    <col min="10499" max="10499" width="18.140625" style="3" customWidth="1"/>
    <col min="10500" max="10516" width="9.140625" style="3" customWidth="1"/>
    <col min="10517" max="10752" width="9" style="3"/>
    <col min="10753" max="10753" width="4.85546875" style="3" customWidth="1"/>
    <col min="10754" max="10754" width="17.85546875" style="3" customWidth="1"/>
    <col min="10755" max="10755" width="18.140625" style="3" customWidth="1"/>
    <col min="10756" max="10772" width="9.140625" style="3" customWidth="1"/>
    <col min="10773" max="11008" width="9" style="3"/>
    <col min="11009" max="11009" width="4.85546875" style="3" customWidth="1"/>
    <col min="11010" max="11010" width="17.85546875" style="3" customWidth="1"/>
    <col min="11011" max="11011" width="18.140625" style="3" customWidth="1"/>
    <col min="11012" max="11028" width="9.140625" style="3" customWidth="1"/>
    <col min="11029" max="11264" width="9" style="3"/>
    <col min="11265" max="11265" width="4.85546875" style="3" customWidth="1"/>
    <col min="11266" max="11266" width="17.85546875" style="3" customWidth="1"/>
    <col min="11267" max="11267" width="18.140625" style="3" customWidth="1"/>
    <col min="11268" max="11284" width="9.140625" style="3" customWidth="1"/>
    <col min="11285" max="11520" width="9" style="3"/>
    <col min="11521" max="11521" width="4.85546875" style="3" customWidth="1"/>
    <col min="11522" max="11522" width="17.85546875" style="3" customWidth="1"/>
    <col min="11523" max="11523" width="18.140625" style="3" customWidth="1"/>
    <col min="11524" max="11540" width="9.140625" style="3" customWidth="1"/>
    <col min="11541" max="11776" width="9" style="3"/>
    <col min="11777" max="11777" width="4.85546875" style="3" customWidth="1"/>
    <col min="11778" max="11778" width="17.85546875" style="3" customWidth="1"/>
    <col min="11779" max="11779" width="18.140625" style="3" customWidth="1"/>
    <col min="11780" max="11796" width="9.140625" style="3" customWidth="1"/>
    <col min="11797" max="12032" width="9" style="3"/>
    <col min="12033" max="12033" width="4.85546875" style="3" customWidth="1"/>
    <col min="12034" max="12034" width="17.85546875" style="3" customWidth="1"/>
    <col min="12035" max="12035" width="18.140625" style="3" customWidth="1"/>
    <col min="12036" max="12052" width="9.140625" style="3" customWidth="1"/>
    <col min="12053" max="12288" width="9" style="3"/>
    <col min="12289" max="12289" width="4.85546875" style="3" customWidth="1"/>
    <col min="12290" max="12290" width="17.85546875" style="3" customWidth="1"/>
    <col min="12291" max="12291" width="18.140625" style="3" customWidth="1"/>
    <col min="12292" max="12308" width="9.140625" style="3" customWidth="1"/>
    <col min="12309" max="12544" width="9" style="3"/>
    <col min="12545" max="12545" width="4.85546875" style="3" customWidth="1"/>
    <col min="12546" max="12546" width="17.85546875" style="3" customWidth="1"/>
    <col min="12547" max="12547" width="18.140625" style="3" customWidth="1"/>
    <col min="12548" max="12564" width="9.140625" style="3" customWidth="1"/>
    <col min="12565" max="12800" width="9" style="3"/>
    <col min="12801" max="12801" width="4.85546875" style="3" customWidth="1"/>
    <col min="12802" max="12802" width="17.85546875" style="3" customWidth="1"/>
    <col min="12803" max="12803" width="18.140625" style="3" customWidth="1"/>
    <col min="12804" max="12820" width="9.140625" style="3" customWidth="1"/>
    <col min="12821" max="13056" width="9" style="3"/>
    <col min="13057" max="13057" width="4.85546875" style="3" customWidth="1"/>
    <col min="13058" max="13058" width="17.85546875" style="3" customWidth="1"/>
    <col min="13059" max="13059" width="18.140625" style="3" customWidth="1"/>
    <col min="13060" max="13076" width="9.140625" style="3" customWidth="1"/>
    <col min="13077" max="13312" width="9" style="3"/>
    <col min="13313" max="13313" width="4.85546875" style="3" customWidth="1"/>
    <col min="13314" max="13314" width="17.85546875" style="3" customWidth="1"/>
    <col min="13315" max="13315" width="18.140625" style="3" customWidth="1"/>
    <col min="13316" max="13332" width="9.140625" style="3" customWidth="1"/>
    <col min="13333" max="13568" width="9" style="3"/>
    <col min="13569" max="13569" width="4.85546875" style="3" customWidth="1"/>
    <col min="13570" max="13570" width="17.85546875" style="3" customWidth="1"/>
    <col min="13571" max="13571" width="18.140625" style="3" customWidth="1"/>
    <col min="13572" max="13588" width="9.140625" style="3" customWidth="1"/>
    <col min="13589" max="13824" width="9" style="3"/>
    <col min="13825" max="13825" width="4.85546875" style="3" customWidth="1"/>
    <col min="13826" max="13826" width="17.85546875" style="3" customWidth="1"/>
    <col min="13827" max="13827" width="18.140625" style="3" customWidth="1"/>
    <col min="13828" max="13844" width="9.140625" style="3" customWidth="1"/>
    <col min="13845" max="14080" width="9" style="3"/>
    <col min="14081" max="14081" width="4.85546875" style="3" customWidth="1"/>
    <col min="14082" max="14082" width="17.85546875" style="3" customWidth="1"/>
    <col min="14083" max="14083" width="18.140625" style="3" customWidth="1"/>
    <col min="14084" max="14100" width="9.140625" style="3" customWidth="1"/>
    <col min="14101" max="14336" width="9" style="3"/>
    <col min="14337" max="14337" width="4.85546875" style="3" customWidth="1"/>
    <col min="14338" max="14338" width="17.85546875" style="3" customWidth="1"/>
    <col min="14339" max="14339" width="18.140625" style="3" customWidth="1"/>
    <col min="14340" max="14356" width="9.140625" style="3" customWidth="1"/>
    <col min="14357" max="14592" width="9" style="3"/>
    <col min="14593" max="14593" width="4.85546875" style="3" customWidth="1"/>
    <col min="14594" max="14594" width="17.85546875" style="3" customWidth="1"/>
    <col min="14595" max="14595" width="18.140625" style="3" customWidth="1"/>
    <col min="14596" max="14612" width="9.140625" style="3" customWidth="1"/>
    <col min="14613" max="14848" width="9" style="3"/>
    <col min="14849" max="14849" width="4.85546875" style="3" customWidth="1"/>
    <col min="14850" max="14850" width="17.85546875" style="3" customWidth="1"/>
    <col min="14851" max="14851" width="18.140625" style="3" customWidth="1"/>
    <col min="14852" max="14868" width="9.140625" style="3" customWidth="1"/>
    <col min="14869" max="15104" width="9" style="3"/>
    <col min="15105" max="15105" width="4.85546875" style="3" customWidth="1"/>
    <col min="15106" max="15106" width="17.85546875" style="3" customWidth="1"/>
    <col min="15107" max="15107" width="18.140625" style="3" customWidth="1"/>
    <col min="15108" max="15124" width="9.140625" style="3" customWidth="1"/>
    <col min="15125" max="15360" width="9" style="3"/>
    <col min="15361" max="15361" width="4.85546875" style="3" customWidth="1"/>
    <col min="15362" max="15362" width="17.85546875" style="3" customWidth="1"/>
    <col min="15363" max="15363" width="18.140625" style="3" customWidth="1"/>
    <col min="15364" max="15380" width="9.140625" style="3" customWidth="1"/>
    <col min="15381" max="15616" width="9" style="3"/>
    <col min="15617" max="15617" width="4.85546875" style="3" customWidth="1"/>
    <col min="15618" max="15618" width="17.85546875" style="3" customWidth="1"/>
    <col min="15619" max="15619" width="18.140625" style="3" customWidth="1"/>
    <col min="15620" max="15636" width="9.140625" style="3" customWidth="1"/>
    <col min="15637" max="15872" width="9" style="3"/>
    <col min="15873" max="15873" width="4.85546875" style="3" customWidth="1"/>
    <col min="15874" max="15874" width="17.85546875" style="3" customWidth="1"/>
    <col min="15875" max="15875" width="18.140625" style="3" customWidth="1"/>
    <col min="15876" max="15892" width="9.140625" style="3" customWidth="1"/>
    <col min="15893" max="16128" width="9" style="3"/>
    <col min="16129" max="16129" width="4.85546875" style="3" customWidth="1"/>
    <col min="16130" max="16130" width="17.85546875" style="3" customWidth="1"/>
    <col min="16131" max="16131" width="18.140625" style="3" customWidth="1"/>
    <col min="16132" max="16148" width="9.140625" style="3" customWidth="1"/>
    <col min="16149" max="16384" width="9" style="3"/>
  </cols>
  <sheetData>
    <row r="1" spans="1:23" ht="34.5" thickBot="1" x14ac:dyDescent="0.3">
      <c r="A1" s="170" t="s">
        <v>69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2"/>
      <c r="U1" s="1"/>
      <c r="V1" s="1"/>
    </row>
    <row r="2" spans="1:23" ht="178.5" customHeight="1" thickBot="1" x14ac:dyDescent="0.3">
      <c r="A2" s="4" t="s">
        <v>0</v>
      </c>
      <c r="B2" s="5" t="s">
        <v>1</v>
      </c>
      <c r="C2" s="6" t="s">
        <v>2</v>
      </c>
      <c r="D2" s="7" t="s">
        <v>70</v>
      </c>
      <c r="E2" s="8" t="s">
        <v>71</v>
      </c>
      <c r="F2" s="7" t="s">
        <v>80</v>
      </c>
      <c r="G2" s="7" t="s">
        <v>81</v>
      </c>
      <c r="H2" s="7" t="s">
        <v>96</v>
      </c>
      <c r="I2" s="7" t="s">
        <v>95</v>
      </c>
      <c r="J2" s="8" t="s">
        <v>116</v>
      </c>
      <c r="K2" s="8" t="s">
        <v>117</v>
      </c>
      <c r="L2" s="8"/>
      <c r="M2" s="8"/>
      <c r="N2" s="8"/>
      <c r="O2" s="8"/>
      <c r="P2" s="8"/>
      <c r="Q2" s="8"/>
      <c r="R2" s="7"/>
      <c r="S2" s="7"/>
      <c r="T2" s="9" t="s">
        <v>3</v>
      </c>
      <c r="U2" s="10"/>
      <c r="V2" s="10"/>
    </row>
    <row r="3" spans="1:23" x14ac:dyDescent="0.25">
      <c r="A3" s="13" t="s">
        <v>4</v>
      </c>
      <c r="B3" s="14" t="s">
        <v>28</v>
      </c>
      <c r="C3" s="15" t="s">
        <v>19</v>
      </c>
      <c r="D3" s="95">
        <f>100-(96.7-82.05)/82.05*50</f>
        <v>91.072516758074343</v>
      </c>
      <c r="E3" s="16"/>
      <c r="F3" s="17">
        <f>100-(32.47-32.47)/32.47*50</f>
        <v>100</v>
      </c>
      <c r="G3" s="17">
        <f>100-(100.45-100.45)/100.45*50</f>
        <v>100</v>
      </c>
      <c r="H3" s="19">
        <f>100-(41.9-41.62)/41.62*50</f>
        <v>99.663623258049014</v>
      </c>
      <c r="I3" s="19">
        <f>100-(92.45-83.63)/83.63*50</f>
        <v>94.726772689226351</v>
      </c>
      <c r="J3" s="17"/>
      <c r="K3" s="17">
        <f>100-(80.13-80.13)/80.13*50</f>
        <v>100</v>
      </c>
      <c r="L3" s="16"/>
      <c r="M3" s="17"/>
      <c r="N3" s="17"/>
      <c r="O3" s="17"/>
      <c r="P3" s="17"/>
      <c r="Q3" s="147"/>
      <c r="R3" s="16"/>
      <c r="S3" s="96"/>
      <c r="T3" s="20">
        <f t="shared" ref="T3:T18" si="0">SUM(D3:S3)</f>
        <v>585.46291270534971</v>
      </c>
    </row>
    <row r="4" spans="1:23" x14ac:dyDescent="0.25">
      <c r="A4" s="22" t="s">
        <v>6</v>
      </c>
      <c r="B4" s="33" t="s">
        <v>57</v>
      </c>
      <c r="C4" s="32" t="s">
        <v>56</v>
      </c>
      <c r="D4" s="19">
        <f>100-(157.47-82.05)/82.05*50</f>
        <v>54.040219378427786</v>
      </c>
      <c r="E4" s="19">
        <f>100-(110.72-84.2)/84.2*50</f>
        <v>84.251781472684087</v>
      </c>
      <c r="F4" s="18">
        <f>100-(43.88-32.47)/32.47*50</f>
        <v>82.429935324915306</v>
      </c>
      <c r="G4" s="21"/>
      <c r="H4" s="19">
        <f>100-(71.32-41.62)/41.62*50</f>
        <v>64.320038443056234</v>
      </c>
      <c r="I4" s="36">
        <f>100-(133.42-83.63)/83.63*50</f>
        <v>70.231974171947869</v>
      </c>
      <c r="J4" s="18">
        <f>100-(51.72-38.92)/38.92*50</f>
        <v>83.556012332990747</v>
      </c>
      <c r="K4" s="18">
        <f>100-(123.47-80.13)/80.13*50</f>
        <v>72.956445775614611</v>
      </c>
      <c r="L4" s="35"/>
      <c r="M4" s="58"/>
      <c r="N4" s="18"/>
      <c r="O4" s="21"/>
      <c r="P4" s="18"/>
      <c r="Q4" s="18"/>
      <c r="R4" s="18"/>
      <c r="S4" s="18"/>
      <c r="T4" s="26">
        <f t="shared" si="0"/>
        <v>511.78640689963663</v>
      </c>
    </row>
    <row r="5" spans="1:23" x14ac:dyDescent="0.25">
      <c r="A5" s="22" t="s">
        <v>8</v>
      </c>
      <c r="B5" s="23" t="s">
        <v>16</v>
      </c>
      <c r="C5" s="24" t="s">
        <v>17</v>
      </c>
      <c r="D5" s="19">
        <f>100-(82.05-82.05)/82.05*50</f>
        <v>100</v>
      </c>
      <c r="E5" s="19"/>
      <c r="F5" s="19">
        <f>100-(38.25-32.47)/32.47*50</f>
        <v>91.099476439790578</v>
      </c>
      <c r="G5" s="18">
        <f>100-(107.12-100.45)/100.45*50</f>
        <v>96.679940268790446</v>
      </c>
      <c r="H5" s="19">
        <f>100-(51.67-41.62)/41.62*50</f>
        <v>87.926477654973567</v>
      </c>
      <c r="I5" s="19"/>
      <c r="J5" s="19"/>
      <c r="K5" s="25"/>
      <c r="L5" s="18"/>
      <c r="M5" s="18"/>
      <c r="N5" s="18"/>
      <c r="O5" s="18"/>
      <c r="P5" s="18"/>
      <c r="Q5" s="18"/>
      <c r="R5" s="18"/>
      <c r="S5" s="90"/>
      <c r="T5" s="26">
        <f t="shared" si="0"/>
        <v>375.70589436355459</v>
      </c>
    </row>
    <row r="6" spans="1:23" x14ac:dyDescent="0.25">
      <c r="A6" s="22" t="s">
        <v>11</v>
      </c>
      <c r="B6" s="138" t="s">
        <v>59</v>
      </c>
      <c r="C6" s="32" t="s">
        <v>56</v>
      </c>
      <c r="D6" s="19">
        <f>100-(143.15-82.05)/82.05*50</f>
        <v>62.7666057282145</v>
      </c>
      <c r="E6" s="19">
        <f>100-(96-84.2)/84.2*50</f>
        <v>92.992874109263653</v>
      </c>
      <c r="F6" s="19"/>
      <c r="G6" s="33"/>
      <c r="H6" s="18">
        <f>100-(71.13-41.62)/41.62*50</f>
        <v>64.548294089380107</v>
      </c>
      <c r="I6" s="18">
        <f>100-(139.3-83.63)/83.63*50</f>
        <v>66.716489298098764</v>
      </c>
      <c r="J6" s="21"/>
      <c r="K6" s="25">
        <f>100-(109.73-80.13)/80.13*50</f>
        <v>81.530013727692491</v>
      </c>
      <c r="L6" s="36"/>
      <c r="M6" s="25"/>
      <c r="N6" s="18"/>
      <c r="O6" s="21"/>
      <c r="P6" s="18"/>
      <c r="Q6" s="18"/>
      <c r="R6" s="36"/>
      <c r="S6" s="122"/>
      <c r="T6" s="26">
        <f t="shared" si="0"/>
        <v>368.55427695264956</v>
      </c>
    </row>
    <row r="7" spans="1:23" x14ac:dyDescent="0.25">
      <c r="A7" s="22" t="s">
        <v>13</v>
      </c>
      <c r="B7" s="35" t="s">
        <v>109</v>
      </c>
      <c r="C7" s="24" t="s">
        <v>17</v>
      </c>
      <c r="D7" s="33"/>
      <c r="E7" s="33"/>
      <c r="F7" s="142"/>
      <c r="G7" s="33"/>
      <c r="H7" s="19">
        <f>100-(62.68-41.62)/41.62*50</f>
        <v>74.699663623258047</v>
      </c>
      <c r="I7" s="19">
        <f>100-(112.37-83.63)/83.63*50</f>
        <v>82.81717087169676</v>
      </c>
      <c r="J7" s="18">
        <f>100-(42.97-38.92)/38.92*50</f>
        <v>94.797019527235364</v>
      </c>
      <c r="K7" s="18">
        <f>100-(109.2-80.13)/80.13*50</f>
        <v>81.860726319730432</v>
      </c>
      <c r="L7" s="18"/>
      <c r="M7" s="18"/>
      <c r="N7" s="18"/>
      <c r="O7" s="21"/>
      <c r="P7" s="21"/>
      <c r="Q7" s="141"/>
      <c r="R7" s="18"/>
      <c r="S7" s="29"/>
      <c r="T7" s="26">
        <f t="shared" si="0"/>
        <v>334.1745803419206</v>
      </c>
    </row>
    <row r="8" spans="1:23" x14ac:dyDescent="0.25">
      <c r="A8" s="22" t="s">
        <v>15</v>
      </c>
      <c r="B8" s="35" t="s">
        <v>51</v>
      </c>
      <c r="C8" s="24" t="s">
        <v>48</v>
      </c>
      <c r="D8" s="19">
        <f>100-(109.85-82.05)/82.05*50</f>
        <v>83.059110298598426</v>
      </c>
      <c r="E8" s="19">
        <f>100-(84.2-84.2)/84.2*50</f>
        <v>100</v>
      </c>
      <c r="F8" s="159"/>
      <c r="G8" s="18"/>
      <c r="H8" s="19"/>
      <c r="I8" s="19"/>
      <c r="J8" s="18"/>
      <c r="K8" s="25">
        <f>100-(103.18-80.13)/80.13*50</f>
        <v>85.617122176463241</v>
      </c>
      <c r="L8" s="18"/>
      <c r="M8" s="18"/>
      <c r="N8" s="18"/>
      <c r="O8" s="18"/>
      <c r="P8" s="18"/>
      <c r="Q8" s="36"/>
      <c r="R8" s="36"/>
      <c r="S8" s="122"/>
      <c r="T8" s="26">
        <f t="shared" si="0"/>
        <v>268.67623247506168</v>
      </c>
    </row>
    <row r="9" spans="1:23" x14ac:dyDescent="0.25">
      <c r="A9" s="22" t="s">
        <v>18</v>
      </c>
      <c r="B9" s="35" t="s">
        <v>107</v>
      </c>
      <c r="C9" s="24" t="s">
        <v>39</v>
      </c>
      <c r="D9" s="35"/>
      <c r="E9" s="36"/>
      <c r="F9" s="38"/>
      <c r="G9" s="21"/>
      <c r="H9" s="19">
        <f>100-(41.62-41.62)/41.62*50</f>
        <v>100</v>
      </c>
      <c r="I9" s="19">
        <f>100-(83.63-83.63)/83.63*50</f>
        <v>100</v>
      </c>
      <c r="J9" s="18"/>
      <c r="K9" s="19"/>
      <c r="L9" s="21"/>
      <c r="M9" s="21"/>
      <c r="N9" s="18"/>
      <c r="O9" s="18"/>
      <c r="P9" s="18"/>
      <c r="Q9" s="18"/>
      <c r="R9" s="36"/>
      <c r="S9" s="21"/>
      <c r="T9" s="26">
        <f t="shared" si="0"/>
        <v>200</v>
      </c>
    </row>
    <row r="10" spans="1:23" x14ac:dyDescent="0.25">
      <c r="A10" s="22" t="s">
        <v>20</v>
      </c>
      <c r="B10" s="35" t="s">
        <v>60</v>
      </c>
      <c r="C10" s="24" t="s">
        <v>61</v>
      </c>
      <c r="D10" s="36"/>
      <c r="E10" s="19"/>
      <c r="F10" s="18"/>
      <c r="G10" s="18"/>
      <c r="H10" s="19"/>
      <c r="I10" s="18"/>
      <c r="J10" s="19">
        <f>100-(38.92-38.92)/38.92*50</f>
        <v>100</v>
      </c>
      <c r="K10" s="25">
        <f>100-(83.23-80.13)/80.13*50</f>
        <v>98.065643329589406</v>
      </c>
      <c r="L10" s="18"/>
      <c r="M10" s="18"/>
      <c r="N10" s="18"/>
      <c r="O10" s="18"/>
      <c r="P10" s="18"/>
      <c r="Q10" s="18"/>
      <c r="R10" s="18"/>
      <c r="S10" s="18"/>
      <c r="T10" s="26">
        <f t="shared" si="0"/>
        <v>198.06564332958942</v>
      </c>
      <c r="W10" s="52"/>
    </row>
    <row r="11" spans="1:23" x14ac:dyDescent="0.25">
      <c r="A11" s="22" t="s">
        <v>23</v>
      </c>
      <c r="B11" s="35" t="s">
        <v>84</v>
      </c>
      <c r="C11" s="32" t="s">
        <v>85</v>
      </c>
      <c r="D11" s="36"/>
      <c r="E11" s="36"/>
      <c r="F11" s="18"/>
      <c r="G11" s="146" t="s">
        <v>12</v>
      </c>
      <c r="H11" s="19">
        <f>100-(56.17-41.62)/41.62*50</f>
        <v>82.520422873618443</v>
      </c>
      <c r="I11" s="19">
        <f>100-(108.52-83.63)/83.63*50</f>
        <v>85.118976443859864</v>
      </c>
      <c r="J11" s="18"/>
      <c r="K11" s="18"/>
      <c r="L11" s="18"/>
      <c r="M11" s="25"/>
      <c r="N11" s="18"/>
      <c r="O11" s="18"/>
      <c r="P11" s="18"/>
      <c r="Q11" s="18"/>
      <c r="R11" s="18"/>
      <c r="S11" s="29"/>
      <c r="T11" s="26">
        <f t="shared" si="0"/>
        <v>167.63939931747831</v>
      </c>
    </row>
    <row r="12" spans="1:23" x14ac:dyDescent="0.25">
      <c r="A12" s="22" t="s">
        <v>26</v>
      </c>
      <c r="B12" s="35" t="s">
        <v>133</v>
      </c>
      <c r="C12" s="24" t="s">
        <v>7</v>
      </c>
      <c r="D12" s="36"/>
      <c r="E12" s="18"/>
      <c r="F12" s="34"/>
      <c r="G12" s="18"/>
      <c r="H12" s="19"/>
      <c r="I12" s="18"/>
      <c r="J12" s="18">
        <f>100-(43.78-38.92)/38.92*50</f>
        <v>93.756423432682425</v>
      </c>
      <c r="K12" s="18"/>
      <c r="L12" s="18"/>
      <c r="M12" s="25"/>
      <c r="N12" s="18"/>
      <c r="O12" s="18"/>
      <c r="P12" s="18"/>
      <c r="Q12" s="74"/>
      <c r="R12" s="18"/>
      <c r="S12" s="29"/>
      <c r="T12" s="26">
        <f t="shared" si="0"/>
        <v>93.756423432682425</v>
      </c>
    </row>
    <row r="13" spans="1:23" x14ac:dyDescent="0.25">
      <c r="A13" s="22" t="s">
        <v>27</v>
      </c>
      <c r="B13" s="35" t="s">
        <v>108</v>
      </c>
      <c r="C13" s="24" t="s">
        <v>19</v>
      </c>
      <c r="D13" s="36"/>
      <c r="E13" s="18"/>
      <c r="F13" s="34"/>
      <c r="G13" s="36"/>
      <c r="H13" s="18">
        <f>100-(58.15-41.62)/41.62*50</f>
        <v>80.141758769822204</v>
      </c>
      <c r="I13" s="160" t="s">
        <v>12</v>
      </c>
      <c r="J13" s="18"/>
      <c r="K13" s="18"/>
      <c r="L13" s="18"/>
      <c r="M13" s="18"/>
      <c r="N13" s="18"/>
      <c r="O13" s="18"/>
      <c r="P13" s="18"/>
      <c r="Q13" s="18"/>
      <c r="R13" s="18"/>
      <c r="S13" s="29"/>
      <c r="T13" s="26">
        <f t="shared" si="0"/>
        <v>80.141758769822204</v>
      </c>
    </row>
    <row r="14" spans="1:23" x14ac:dyDescent="0.25">
      <c r="A14" s="22" t="s">
        <v>29</v>
      </c>
      <c r="B14" s="35" t="s">
        <v>110</v>
      </c>
      <c r="C14" s="24" t="s">
        <v>56</v>
      </c>
      <c r="D14" s="35"/>
      <c r="E14" s="21"/>
      <c r="F14" s="38"/>
      <c r="G14" s="21"/>
      <c r="H14" s="18">
        <f>100-(69.13-41.62)/41.62*50</f>
        <v>66.950985103315716</v>
      </c>
      <c r="I14" s="21"/>
      <c r="J14" s="33"/>
      <c r="K14" s="58"/>
      <c r="L14" s="21"/>
      <c r="M14" s="18"/>
      <c r="N14" s="18"/>
      <c r="O14" s="21"/>
      <c r="P14" s="21"/>
      <c r="Q14" s="18"/>
      <c r="R14" s="21"/>
      <c r="S14" s="33"/>
      <c r="T14" s="26">
        <f t="shared" si="0"/>
        <v>66.950985103315716</v>
      </c>
    </row>
    <row r="15" spans="1:23" x14ac:dyDescent="0.25">
      <c r="A15" s="22" t="s">
        <v>31</v>
      </c>
      <c r="B15" s="35" t="s">
        <v>143</v>
      </c>
      <c r="C15" s="24" t="s">
        <v>144</v>
      </c>
      <c r="D15" s="36"/>
      <c r="E15" s="18"/>
      <c r="F15" s="34"/>
      <c r="G15" s="18"/>
      <c r="H15" s="18"/>
      <c r="I15" s="18"/>
      <c r="J15" s="19"/>
      <c r="K15" s="18">
        <f>100-(134.02-80.13)/80.13*50</f>
        <v>66.3733932359915</v>
      </c>
      <c r="L15" s="18"/>
      <c r="M15" s="18"/>
      <c r="N15" s="18"/>
      <c r="O15" s="18"/>
      <c r="P15" s="18"/>
      <c r="Q15" s="74"/>
      <c r="R15" s="18"/>
      <c r="S15" s="29"/>
      <c r="T15" s="26">
        <f t="shared" si="0"/>
        <v>66.3733932359915</v>
      </c>
    </row>
    <row r="16" spans="1:23" x14ac:dyDescent="0.25">
      <c r="A16" s="22" t="s">
        <v>32</v>
      </c>
      <c r="B16" s="35" t="s">
        <v>111</v>
      </c>
      <c r="C16" s="24" t="s">
        <v>85</v>
      </c>
      <c r="D16" s="36"/>
      <c r="E16" s="21"/>
      <c r="F16" s="38"/>
      <c r="G16" s="21"/>
      <c r="H16" s="146" t="s">
        <v>12</v>
      </c>
      <c r="I16" s="18">
        <f>100-(197.73-83.63)/83.63*50</f>
        <v>31.782853043166327</v>
      </c>
      <c r="J16" s="33"/>
      <c r="K16" s="58"/>
      <c r="L16" s="18"/>
      <c r="M16" s="18"/>
      <c r="N16" s="21"/>
      <c r="O16" s="21"/>
      <c r="P16" s="21"/>
      <c r="Q16" s="35"/>
      <c r="R16" s="18"/>
      <c r="S16" s="83"/>
      <c r="T16" s="26">
        <f t="shared" si="0"/>
        <v>31.782853043166327</v>
      </c>
    </row>
    <row r="17" spans="1:20" x14ac:dyDescent="0.25">
      <c r="A17" s="22" t="s">
        <v>33</v>
      </c>
      <c r="B17" s="35" t="s">
        <v>134</v>
      </c>
      <c r="C17" s="24"/>
      <c r="D17" s="35"/>
      <c r="E17" s="18"/>
      <c r="F17" s="38"/>
      <c r="G17" s="21"/>
      <c r="H17" s="21"/>
      <c r="I17" s="21"/>
      <c r="J17" s="19">
        <f>100-(100.07-38.92)/38.92*50</f>
        <v>21.441418293936295</v>
      </c>
      <c r="K17" s="146" t="s">
        <v>12</v>
      </c>
      <c r="L17" s="18"/>
      <c r="M17" s="18"/>
      <c r="N17" s="21"/>
      <c r="O17" s="21"/>
      <c r="P17" s="21"/>
      <c r="Q17" s="35"/>
      <c r="R17" s="18"/>
      <c r="S17" s="29"/>
      <c r="T17" s="26">
        <f t="shared" si="0"/>
        <v>21.441418293936295</v>
      </c>
    </row>
    <row r="18" spans="1:20" ht="15.75" thickBot="1" x14ac:dyDescent="0.3">
      <c r="A18" s="39" t="s">
        <v>34</v>
      </c>
      <c r="B18" s="61" t="s">
        <v>132</v>
      </c>
      <c r="C18" s="41" t="s">
        <v>77</v>
      </c>
      <c r="D18" s="42"/>
      <c r="E18" s="43"/>
      <c r="F18" s="43"/>
      <c r="G18" s="43"/>
      <c r="H18" s="43"/>
      <c r="I18" s="43"/>
      <c r="J18" s="162" t="s">
        <v>12</v>
      </c>
      <c r="K18" s="43"/>
      <c r="L18" s="43"/>
      <c r="M18" s="43"/>
      <c r="N18" s="43"/>
      <c r="O18" s="43"/>
      <c r="P18" s="43"/>
      <c r="Q18" s="43"/>
      <c r="R18" s="134"/>
      <c r="S18" s="47"/>
      <c r="T18" s="48">
        <f t="shared" si="0"/>
        <v>0</v>
      </c>
    </row>
    <row r="19" spans="1:20" x14ac:dyDescent="0.25">
      <c r="A19" s="2"/>
      <c r="B19" s="2"/>
      <c r="C19" s="2"/>
      <c r="D19" s="2"/>
      <c r="E19" s="2"/>
      <c r="F19" s="53"/>
      <c r="G19" s="2"/>
      <c r="H19" s="2"/>
      <c r="I19" s="2"/>
      <c r="J19" s="2"/>
      <c r="K19" s="2"/>
      <c r="L19" s="49"/>
      <c r="M19" s="2"/>
      <c r="N19" s="2"/>
      <c r="O19" s="2"/>
      <c r="P19" s="2"/>
      <c r="Q19" s="2"/>
      <c r="R19" s="49"/>
      <c r="S19" s="49"/>
      <c r="T19" s="52"/>
    </row>
    <row r="20" spans="1:20" s="54" customFormat="1" x14ac:dyDescent="0.25">
      <c r="A20" s="54" t="s">
        <v>36</v>
      </c>
    </row>
    <row r="21" spans="1:20" s="55" customFormat="1" x14ac:dyDescent="0.25">
      <c r="A21" s="55" t="s">
        <v>37</v>
      </c>
    </row>
  </sheetData>
  <sortState ref="B3:T18">
    <sortCondition descending="1" ref="T3"/>
  </sortState>
  <mergeCells count="1">
    <mergeCell ref="A1:T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"/>
  <sheetViews>
    <sheetView workbookViewId="0">
      <selection activeCell="J2" sqref="J2:K2"/>
    </sheetView>
  </sheetViews>
  <sheetFormatPr defaultColWidth="9" defaultRowHeight="15" x14ac:dyDescent="0.25"/>
  <cols>
    <col min="1" max="1" width="5.42578125" style="3" customWidth="1"/>
    <col min="2" max="2" width="18" style="3" customWidth="1"/>
    <col min="3" max="3" width="11.85546875" style="3" customWidth="1"/>
    <col min="4" max="20" width="9.140625" style="3" customWidth="1"/>
    <col min="21" max="34" width="9" style="2"/>
    <col min="35" max="256" width="9" style="3"/>
    <col min="257" max="257" width="5.42578125" style="3" customWidth="1"/>
    <col min="258" max="258" width="18" style="3" customWidth="1"/>
    <col min="259" max="259" width="11.85546875" style="3" customWidth="1"/>
    <col min="260" max="276" width="9.140625" style="3" customWidth="1"/>
    <col min="277" max="512" width="9" style="3"/>
    <col min="513" max="513" width="5.42578125" style="3" customWidth="1"/>
    <col min="514" max="514" width="18" style="3" customWidth="1"/>
    <col min="515" max="515" width="11.85546875" style="3" customWidth="1"/>
    <col min="516" max="532" width="9.140625" style="3" customWidth="1"/>
    <col min="533" max="768" width="9" style="3"/>
    <col min="769" max="769" width="5.42578125" style="3" customWidth="1"/>
    <col min="770" max="770" width="18" style="3" customWidth="1"/>
    <col min="771" max="771" width="11.85546875" style="3" customWidth="1"/>
    <col min="772" max="788" width="9.140625" style="3" customWidth="1"/>
    <col min="789" max="1024" width="9" style="3"/>
    <col min="1025" max="1025" width="5.42578125" style="3" customWidth="1"/>
    <col min="1026" max="1026" width="18" style="3" customWidth="1"/>
    <col min="1027" max="1027" width="11.85546875" style="3" customWidth="1"/>
    <col min="1028" max="1044" width="9.140625" style="3" customWidth="1"/>
    <col min="1045" max="1280" width="9" style="3"/>
    <col min="1281" max="1281" width="5.42578125" style="3" customWidth="1"/>
    <col min="1282" max="1282" width="18" style="3" customWidth="1"/>
    <col min="1283" max="1283" width="11.85546875" style="3" customWidth="1"/>
    <col min="1284" max="1300" width="9.140625" style="3" customWidth="1"/>
    <col min="1301" max="1536" width="9" style="3"/>
    <col min="1537" max="1537" width="5.42578125" style="3" customWidth="1"/>
    <col min="1538" max="1538" width="18" style="3" customWidth="1"/>
    <col min="1539" max="1539" width="11.85546875" style="3" customWidth="1"/>
    <col min="1540" max="1556" width="9.140625" style="3" customWidth="1"/>
    <col min="1557" max="1792" width="9" style="3"/>
    <col min="1793" max="1793" width="5.42578125" style="3" customWidth="1"/>
    <col min="1794" max="1794" width="18" style="3" customWidth="1"/>
    <col min="1795" max="1795" width="11.85546875" style="3" customWidth="1"/>
    <col min="1796" max="1812" width="9.140625" style="3" customWidth="1"/>
    <col min="1813" max="2048" width="9" style="3"/>
    <col min="2049" max="2049" width="5.42578125" style="3" customWidth="1"/>
    <col min="2050" max="2050" width="18" style="3" customWidth="1"/>
    <col min="2051" max="2051" width="11.85546875" style="3" customWidth="1"/>
    <col min="2052" max="2068" width="9.140625" style="3" customWidth="1"/>
    <col min="2069" max="2304" width="9" style="3"/>
    <col min="2305" max="2305" width="5.42578125" style="3" customWidth="1"/>
    <col min="2306" max="2306" width="18" style="3" customWidth="1"/>
    <col min="2307" max="2307" width="11.85546875" style="3" customWidth="1"/>
    <col min="2308" max="2324" width="9.140625" style="3" customWidth="1"/>
    <col min="2325" max="2560" width="9" style="3"/>
    <col min="2561" max="2561" width="5.42578125" style="3" customWidth="1"/>
    <col min="2562" max="2562" width="18" style="3" customWidth="1"/>
    <col min="2563" max="2563" width="11.85546875" style="3" customWidth="1"/>
    <col min="2564" max="2580" width="9.140625" style="3" customWidth="1"/>
    <col min="2581" max="2816" width="9" style="3"/>
    <col min="2817" max="2817" width="5.42578125" style="3" customWidth="1"/>
    <col min="2818" max="2818" width="18" style="3" customWidth="1"/>
    <col min="2819" max="2819" width="11.85546875" style="3" customWidth="1"/>
    <col min="2820" max="2836" width="9.140625" style="3" customWidth="1"/>
    <col min="2837" max="3072" width="9" style="3"/>
    <col min="3073" max="3073" width="5.42578125" style="3" customWidth="1"/>
    <col min="3074" max="3074" width="18" style="3" customWidth="1"/>
    <col min="3075" max="3075" width="11.85546875" style="3" customWidth="1"/>
    <col min="3076" max="3092" width="9.140625" style="3" customWidth="1"/>
    <col min="3093" max="3328" width="9" style="3"/>
    <col min="3329" max="3329" width="5.42578125" style="3" customWidth="1"/>
    <col min="3330" max="3330" width="18" style="3" customWidth="1"/>
    <col min="3331" max="3331" width="11.85546875" style="3" customWidth="1"/>
    <col min="3332" max="3348" width="9.140625" style="3" customWidth="1"/>
    <col min="3349" max="3584" width="9" style="3"/>
    <col min="3585" max="3585" width="5.42578125" style="3" customWidth="1"/>
    <col min="3586" max="3586" width="18" style="3" customWidth="1"/>
    <col min="3587" max="3587" width="11.85546875" style="3" customWidth="1"/>
    <col min="3588" max="3604" width="9.140625" style="3" customWidth="1"/>
    <col min="3605" max="3840" width="9" style="3"/>
    <col min="3841" max="3841" width="5.42578125" style="3" customWidth="1"/>
    <col min="3842" max="3842" width="18" style="3" customWidth="1"/>
    <col min="3843" max="3843" width="11.85546875" style="3" customWidth="1"/>
    <col min="3844" max="3860" width="9.140625" style="3" customWidth="1"/>
    <col min="3861" max="4096" width="9" style="3"/>
    <col min="4097" max="4097" width="5.42578125" style="3" customWidth="1"/>
    <col min="4098" max="4098" width="18" style="3" customWidth="1"/>
    <col min="4099" max="4099" width="11.85546875" style="3" customWidth="1"/>
    <col min="4100" max="4116" width="9.140625" style="3" customWidth="1"/>
    <col min="4117" max="4352" width="9" style="3"/>
    <col min="4353" max="4353" width="5.42578125" style="3" customWidth="1"/>
    <col min="4354" max="4354" width="18" style="3" customWidth="1"/>
    <col min="4355" max="4355" width="11.85546875" style="3" customWidth="1"/>
    <col min="4356" max="4372" width="9.140625" style="3" customWidth="1"/>
    <col min="4373" max="4608" width="9" style="3"/>
    <col min="4609" max="4609" width="5.42578125" style="3" customWidth="1"/>
    <col min="4610" max="4610" width="18" style="3" customWidth="1"/>
    <col min="4611" max="4611" width="11.85546875" style="3" customWidth="1"/>
    <col min="4612" max="4628" width="9.140625" style="3" customWidth="1"/>
    <col min="4629" max="4864" width="9" style="3"/>
    <col min="4865" max="4865" width="5.42578125" style="3" customWidth="1"/>
    <col min="4866" max="4866" width="18" style="3" customWidth="1"/>
    <col min="4867" max="4867" width="11.85546875" style="3" customWidth="1"/>
    <col min="4868" max="4884" width="9.140625" style="3" customWidth="1"/>
    <col min="4885" max="5120" width="9" style="3"/>
    <col min="5121" max="5121" width="5.42578125" style="3" customWidth="1"/>
    <col min="5122" max="5122" width="18" style="3" customWidth="1"/>
    <col min="5123" max="5123" width="11.85546875" style="3" customWidth="1"/>
    <col min="5124" max="5140" width="9.140625" style="3" customWidth="1"/>
    <col min="5141" max="5376" width="9" style="3"/>
    <col min="5377" max="5377" width="5.42578125" style="3" customWidth="1"/>
    <col min="5378" max="5378" width="18" style="3" customWidth="1"/>
    <col min="5379" max="5379" width="11.85546875" style="3" customWidth="1"/>
    <col min="5380" max="5396" width="9.140625" style="3" customWidth="1"/>
    <col min="5397" max="5632" width="9" style="3"/>
    <col min="5633" max="5633" width="5.42578125" style="3" customWidth="1"/>
    <col min="5634" max="5634" width="18" style="3" customWidth="1"/>
    <col min="5635" max="5635" width="11.85546875" style="3" customWidth="1"/>
    <col min="5636" max="5652" width="9.140625" style="3" customWidth="1"/>
    <col min="5653" max="5888" width="9" style="3"/>
    <col min="5889" max="5889" width="5.42578125" style="3" customWidth="1"/>
    <col min="5890" max="5890" width="18" style="3" customWidth="1"/>
    <col min="5891" max="5891" width="11.85546875" style="3" customWidth="1"/>
    <col min="5892" max="5908" width="9.140625" style="3" customWidth="1"/>
    <col min="5909" max="6144" width="9" style="3"/>
    <col min="6145" max="6145" width="5.42578125" style="3" customWidth="1"/>
    <col min="6146" max="6146" width="18" style="3" customWidth="1"/>
    <col min="6147" max="6147" width="11.85546875" style="3" customWidth="1"/>
    <col min="6148" max="6164" width="9.140625" style="3" customWidth="1"/>
    <col min="6165" max="6400" width="9" style="3"/>
    <col min="6401" max="6401" width="5.42578125" style="3" customWidth="1"/>
    <col min="6402" max="6402" width="18" style="3" customWidth="1"/>
    <col min="6403" max="6403" width="11.85546875" style="3" customWidth="1"/>
    <col min="6404" max="6420" width="9.140625" style="3" customWidth="1"/>
    <col min="6421" max="6656" width="9" style="3"/>
    <col min="6657" max="6657" width="5.42578125" style="3" customWidth="1"/>
    <col min="6658" max="6658" width="18" style="3" customWidth="1"/>
    <col min="6659" max="6659" width="11.85546875" style="3" customWidth="1"/>
    <col min="6660" max="6676" width="9.140625" style="3" customWidth="1"/>
    <col min="6677" max="6912" width="9" style="3"/>
    <col min="6913" max="6913" width="5.42578125" style="3" customWidth="1"/>
    <col min="6914" max="6914" width="18" style="3" customWidth="1"/>
    <col min="6915" max="6915" width="11.85546875" style="3" customWidth="1"/>
    <col min="6916" max="6932" width="9.140625" style="3" customWidth="1"/>
    <col min="6933" max="7168" width="9" style="3"/>
    <col min="7169" max="7169" width="5.42578125" style="3" customWidth="1"/>
    <col min="7170" max="7170" width="18" style="3" customWidth="1"/>
    <col min="7171" max="7171" width="11.85546875" style="3" customWidth="1"/>
    <col min="7172" max="7188" width="9.140625" style="3" customWidth="1"/>
    <col min="7189" max="7424" width="9" style="3"/>
    <col min="7425" max="7425" width="5.42578125" style="3" customWidth="1"/>
    <col min="7426" max="7426" width="18" style="3" customWidth="1"/>
    <col min="7427" max="7427" width="11.85546875" style="3" customWidth="1"/>
    <col min="7428" max="7444" width="9.140625" style="3" customWidth="1"/>
    <col min="7445" max="7680" width="9" style="3"/>
    <col min="7681" max="7681" width="5.42578125" style="3" customWidth="1"/>
    <col min="7682" max="7682" width="18" style="3" customWidth="1"/>
    <col min="7683" max="7683" width="11.85546875" style="3" customWidth="1"/>
    <col min="7684" max="7700" width="9.140625" style="3" customWidth="1"/>
    <col min="7701" max="7936" width="9" style="3"/>
    <col min="7937" max="7937" width="5.42578125" style="3" customWidth="1"/>
    <col min="7938" max="7938" width="18" style="3" customWidth="1"/>
    <col min="7939" max="7939" width="11.85546875" style="3" customWidth="1"/>
    <col min="7940" max="7956" width="9.140625" style="3" customWidth="1"/>
    <col min="7957" max="8192" width="9" style="3"/>
    <col min="8193" max="8193" width="5.42578125" style="3" customWidth="1"/>
    <col min="8194" max="8194" width="18" style="3" customWidth="1"/>
    <col min="8195" max="8195" width="11.85546875" style="3" customWidth="1"/>
    <col min="8196" max="8212" width="9.140625" style="3" customWidth="1"/>
    <col min="8213" max="8448" width="9" style="3"/>
    <col min="8449" max="8449" width="5.42578125" style="3" customWidth="1"/>
    <col min="8450" max="8450" width="18" style="3" customWidth="1"/>
    <col min="8451" max="8451" width="11.85546875" style="3" customWidth="1"/>
    <col min="8452" max="8468" width="9.140625" style="3" customWidth="1"/>
    <col min="8469" max="8704" width="9" style="3"/>
    <col min="8705" max="8705" width="5.42578125" style="3" customWidth="1"/>
    <col min="8706" max="8706" width="18" style="3" customWidth="1"/>
    <col min="8707" max="8707" width="11.85546875" style="3" customWidth="1"/>
    <col min="8708" max="8724" width="9.140625" style="3" customWidth="1"/>
    <col min="8725" max="8960" width="9" style="3"/>
    <col min="8961" max="8961" width="5.42578125" style="3" customWidth="1"/>
    <col min="8962" max="8962" width="18" style="3" customWidth="1"/>
    <col min="8963" max="8963" width="11.85546875" style="3" customWidth="1"/>
    <col min="8964" max="8980" width="9.140625" style="3" customWidth="1"/>
    <col min="8981" max="9216" width="9" style="3"/>
    <col min="9217" max="9217" width="5.42578125" style="3" customWidth="1"/>
    <col min="9218" max="9218" width="18" style="3" customWidth="1"/>
    <col min="9219" max="9219" width="11.85546875" style="3" customWidth="1"/>
    <col min="9220" max="9236" width="9.140625" style="3" customWidth="1"/>
    <col min="9237" max="9472" width="9" style="3"/>
    <col min="9473" max="9473" width="5.42578125" style="3" customWidth="1"/>
    <col min="9474" max="9474" width="18" style="3" customWidth="1"/>
    <col min="9475" max="9475" width="11.85546875" style="3" customWidth="1"/>
    <col min="9476" max="9492" width="9.140625" style="3" customWidth="1"/>
    <col min="9493" max="9728" width="9" style="3"/>
    <col min="9729" max="9729" width="5.42578125" style="3" customWidth="1"/>
    <col min="9730" max="9730" width="18" style="3" customWidth="1"/>
    <col min="9731" max="9731" width="11.85546875" style="3" customWidth="1"/>
    <col min="9732" max="9748" width="9.140625" style="3" customWidth="1"/>
    <col min="9749" max="9984" width="9" style="3"/>
    <col min="9985" max="9985" width="5.42578125" style="3" customWidth="1"/>
    <col min="9986" max="9986" width="18" style="3" customWidth="1"/>
    <col min="9987" max="9987" width="11.85546875" style="3" customWidth="1"/>
    <col min="9988" max="10004" width="9.140625" style="3" customWidth="1"/>
    <col min="10005" max="10240" width="9" style="3"/>
    <col min="10241" max="10241" width="5.42578125" style="3" customWidth="1"/>
    <col min="10242" max="10242" width="18" style="3" customWidth="1"/>
    <col min="10243" max="10243" width="11.85546875" style="3" customWidth="1"/>
    <col min="10244" max="10260" width="9.140625" style="3" customWidth="1"/>
    <col min="10261" max="10496" width="9" style="3"/>
    <col min="10497" max="10497" width="5.42578125" style="3" customWidth="1"/>
    <col min="10498" max="10498" width="18" style="3" customWidth="1"/>
    <col min="10499" max="10499" width="11.85546875" style="3" customWidth="1"/>
    <col min="10500" max="10516" width="9.140625" style="3" customWidth="1"/>
    <col min="10517" max="10752" width="9" style="3"/>
    <col min="10753" max="10753" width="5.42578125" style="3" customWidth="1"/>
    <col min="10754" max="10754" width="18" style="3" customWidth="1"/>
    <col min="10755" max="10755" width="11.85546875" style="3" customWidth="1"/>
    <col min="10756" max="10772" width="9.140625" style="3" customWidth="1"/>
    <col min="10773" max="11008" width="9" style="3"/>
    <col min="11009" max="11009" width="5.42578125" style="3" customWidth="1"/>
    <col min="11010" max="11010" width="18" style="3" customWidth="1"/>
    <col min="11011" max="11011" width="11.85546875" style="3" customWidth="1"/>
    <col min="11012" max="11028" width="9.140625" style="3" customWidth="1"/>
    <col min="11029" max="11264" width="9" style="3"/>
    <col min="11265" max="11265" width="5.42578125" style="3" customWidth="1"/>
    <col min="11266" max="11266" width="18" style="3" customWidth="1"/>
    <col min="11267" max="11267" width="11.85546875" style="3" customWidth="1"/>
    <col min="11268" max="11284" width="9.140625" style="3" customWidth="1"/>
    <col min="11285" max="11520" width="9" style="3"/>
    <col min="11521" max="11521" width="5.42578125" style="3" customWidth="1"/>
    <col min="11522" max="11522" width="18" style="3" customWidth="1"/>
    <col min="11523" max="11523" width="11.85546875" style="3" customWidth="1"/>
    <col min="11524" max="11540" width="9.140625" style="3" customWidth="1"/>
    <col min="11541" max="11776" width="9" style="3"/>
    <col min="11777" max="11777" width="5.42578125" style="3" customWidth="1"/>
    <col min="11778" max="11778" width="18" style="3" customWidth="1"/>
    <col min="11779" max="11779" width="11.85546875" style="3" customWidth="1"/>
    <col min="11780" max="11796" width="9.140625" style="3" customWidth="1"/>
    <col min="11797" max="12032" width="9" style="3"/>
    <col min="12033" max="12033" width="5.42578125" style="3" customWidth="1"/>
    <col min="12034" max="12034" width="18" style="3" customWidth="1"/>
    <col min="12035" max="12035" width="11.85546875" style="3" customWidth="1"/>
    <col min="12036" max="12052" width="9.140625" style="3" customWidth="1"/>
    <col min="12053" max="12288" width="9" style="3"/>
    <col min="12289" max="12289" width="5.42578125" style="3" customWidth="1"/>
    <col min="12290" max="12290" width="18" style="3" customWidth="1"/>
    <col min="12291" max="12291" width="11.85546875" style="3" customWidth="1"/>
    <col min="12292" max="12308" width="9.140625" style="3" customWidth="1"/>
    <col min="12309" max="12544" width="9" style="3"/>
    <col min="12545" max="12545" width="5.42578125" style="3" customWidth="1"/>
    <col min="12546" max="12546" width="18" style="3" customWidth="1"/>
    <col min="12547" max="12547" width="11.85546875" style="3" customWidth="1"/>
    <col min="12548" max="12564" width="9.140625" style="3" customWidth="1"/>
    <col min="12565" max="12800" width="9" style="3"/>
    <col min="12801" max="12801" width="5.42578125" style="3" customWidth="1"/>
    <col min="12802" max="12802" width="18" style="3" customWidth="1"/>
    <col min="12803" max="12803" width="11.85546875" style="3" customWidth="1"/>
    <col min="12804" max="12820" width="9.140625" style="3" customWidth="1"/>
    <col min="12821" max="13056" width="9" style="3"/>
    <col min="13057" max="13057" width="5.42578125" style="3" customWidth="1"/>
    <col min="13058" max="13058" width="18" style="3" customWidth="1"/>
    <col min="13059" max="13059" width="11.85546875" style="3" customWidth="1"/>
    <col min="13060" max="13076" width="9.140625" style="3" customWidth="1"/>
    <col min="13077" max="13312" width="9" style="3"/>
    <col min="13313" max="13313" width="5.42578125" style="3" customWidth="1"/>
    <col min="13314" max="13314" width="18" style="3" customWidth="1"/>
    <col min="13315" max="13315" width="11.85546875" style="3" customWidth="1"/>
    <col min="13316" max="13332" width="9.140625" style="3" customWidth="1"/>
    <col min="13333" max="13568" width="9" style="3"/>
    <col min="13569" max="13569" width="5.42578125" style="3" customWidth="1"/>
    <col min="13570" max="13570" width="18" style="3" customWidth="1"/>
    <col min="13571" max="13571" width="11.85546875" style="3" customWidth="1"/>
    <col min="13572" max="13588" width="9.140625" style="3" customWidth="1"/>
    <col min="13589" max="13824" width="9" style="3"/>
    <col min="13825" max="13825" width="5.42578125" style="3" customWidth="1"/>
    <col min="13826" max="13826" width="18" style="3" customWidth="1"/>
    <col min="13827" max="13827" width="11.85546875" style="3" customWidth="1"/>
    <col min="13828" max="13844" width="9.140625" style="3" customWidth="1"/>
    <col min="13845" max="14080" width="9" style="3"/>
    <col min="14081" max="14081" width="5.42578125" style="3" customWidth="1"/>
    <col min="14082" max="14082" width="18" style="3" customWidth="1"/>
    <col min="14083" max="14083" width="11.85546875" style="3" customWidth="1"/>
    <col min="14084" max="14100" width="9.140625" style="3" customWidth="1"/>
    <col min="14101" max="14336" width="9" style="3"/>
    <col min="14337" max="14337" width="5.42578125" style="3" customWidth="1"/>
    <col min="14338" max="14338" width="18" style="3" customWidth="1"/>
    <col min="14339" max="14339" width="11.85546875" style="3" customWidth="1"/>
    <col min="14340" max="14356" width="9.140625" style="3" customWidth="1"/>
    <col min="14357" max="14592" width="9" style="3"/>
    <col min="14593" max="14593" width="5.42578125" style="3" customWidth="1"/>
    <col min="14594" max="14594" width="18" style="3" customWidth="1"/>
    <col min="14595" max="14595" width="11.85546875" style="3" customWidth="1"/>
    <col min="14596" max="14612" width="9.140625" style="3" customWidth="1"/>
    <col min="14613" max="14848" width="9" style="3"/>
    <col min="14849" max="14849" width="5.42578125" style="3" customWidth="1"/>
    <col min="14850" max="14850" width="18" style="3" customWidth="1"/>
    <col min="14851" max="14851" width="11.85546875" style="3" customWidth="1"/>
    <col min="14852" max="14868" width="9.140625" style="3" customWidth="1"/>
    <col min="14869" max="15104" width="9" style="3"/>
    <col min="15105" max="15105" width="5.42578125" style="3" customWidth="1"/>
    <col min="15106" max="15106" width="18" style="3" customWidth="1"/>
    <col min="15107" max="15107" width="11.85546875" style="3" customWidth="1"/>
    <col min="15108" max="15124" width="9.140625" style="3" customWidth="1"/>
    <col min="15125" max="15360" width="9" style="3"/>
    <col min="15361" max="15361" width="5.42578125" style="3" customWidth="1"/>
    <col min="15362" max="15362" width="18" style="3" customWidth="1"/>
    <col min="15363" max="15363" width="11.85546875" style="3" customWidth="1"/>
    <col min="15364" max="15380" width="9.140625" style="3" customWidth="1"/>
    <col min="15381" max="15616" width="9" style="3"/>
    <col min="15617" max="15617" width="5.42578125" style="3" customWidth="1"/>
    <col min="15618" max="15618" width="18" style="3" customWidth="1"/>
    <col min="15619" max="15619" width="11.85546875" style="3" customWidth="1"/>
    <col min="15620" max="15636" width="9.140625" style="3" customWidth="1"/>
    <col min="15637" max="15872" width="9" style="3"/>
    <col min="15873" max="15873" width="5.42578125" style="3" customWidth="1"/>
    <col min="15874" max="15874" width="18" style="3" customWidth="1"/>
    <col min="15875" max="15875" width="11.85546875" style="3" customWidth="1"/>
    <col min="15876" max="15892" width="9.140625" style="3" customWidth="1"/>
    <col min="15893" max="16128" width="9" style="3"/>
    <col min="16129" max="16129" width="5.42578125" style="3" customWidth="1"/>
    <col min="16130" max="16130" width="18" style="3" customWidth="1"/>
    <col min="16131" max="16131" width="11.85546875" style="3" customWidth="1"/>
    <col min="16132" max="16148" width="9.140625" style="3" customWidth="1"/>
    <col min="16149" max="16384" width="9" style="3"/>
  </cols>
  <sheetData>
    <row r="1" spans="1:22" ht="34.5" thickBot="1" x14ac:dyDescent="0.3">
      <c r="A1" s="170" t="s">
        <v>69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2"/>
      <c r="U1" s="1"/>
      <c r="V1" s="1"/>
    </row>
    <row r="2" spans="1:22" ht="171.75" customHeight="1" thickBot="1" x14ac:dyDescent="0.3">
      <c r="A2" s="91" t="s">
        <v>0</v>
      </c>
      <c r="B2" s="5" t="s">
        <v>1</v>
      </c>
      <c r="C2" s="6" t="s">
        <v>2</v>
      </c>
      <c r="D2" s="7" t="s">
        <v>70</v>
      </c>
      <c r="E2" s="8" t="s">
        <v>71</v>
      </c>
      <c r="F2" s="7" t="s">
        <v>80</v>
      </c>
      <c r="G2" s="7" t="s">
        <v>81</v>
      </c>
      <c r="H2" s="7" t="s">
        <v>96</v>
      </c>
      <c r="I2" s="7" t="s">
        <v>95</v>
      </c>
      <c r="J2" s="8" t="s">
        <v>116</v>
      </c>
      <c r="K2" s="8" t="s">
        <v>117</v>
      </c>
      <c r="L2" s="8"/>
      <c r="M2" s="8"/>
      <c r="N2" s="8"/>
      <c r="O2" s="8"/>
      <c r="P2" s="8"/>
      <c r="Q2" s="8"/>
      <c r="R2" s="7"/>
      <c r="S2" s="7"/>
      <c r="T2" s="9" t="s">
        <v>3</v>
      </c>
      <c r="U2" s="10"/>
      <c r="V2" s="10"/>
    </row>
    <row r="3" spans="1:22" x14ac:dyDescent="0.25">
      <c r="A3" s="86" t="s">
        <v>4</v>
      </c>
      <c r="B3" s="14" t="s">
        <v>89</v>
      </c>
      <c r="C3" s="15" t="s">
        <v>61</v>
      </c>
      <c r="D3" s="95"/>
      <c r="E3" s="17"/>
      <c r="F3" s="17"/>
      <c r="G3" s="17">
        <f>100-(72.22-72.22)/72.22*50</f>
        <v>100</v>
      </c>
      <c r="H3" s="81">
        <f>100-(44.75-44.75)/44.75*50</f>
        <v>100</v>
      </c>
      <c r="I3" s="17">
        <f>100-(83.07-83.07)/83.07*50</f>
        <v>100</v>
      </c>
      <c r="J3" s="17"/>
      <c r="K3" s="17"/>
      <c r="L3" s="17"/>
      <c r="M3" s="17"/>
      <c r="N3" s="17"/>
      <c r="O3" s="17"/>
      <c r="P3" s="17"/>
      <c r="Q3" s="17"/>
      <c r="R3" s="17"/>
      <c r="S3" s="96"/>
      <c r="T3" s="104">
        <f>SUM(D3:S3)</f>
        <v>300</v>
      </c>
    </row>
    <row r="4" spans="1:22" x14ac:dyDescent="0.25">
      <c r="A4" s="152" t="s">
        <v>6</v>
      </c>
      <c r="B4" s="113" t="s">
        <v>94</v>
      </c>
      <c r="C4" s="114" t="s">
        <v>19</v>
      </c>
      <c r="D4" s="31"/>
      <c r="E4" s="82"/>
      <c r="F4" s="82">
        <f>100-(47.6-47.6)/47.6*50</f>
        <v>100</v>
      </c>
      <c r="G4" s="82"/>
      <c r="H4" s="18"/>
      <c r="I4" s="82"/>
      <c r="J4" s="82"/>
      <c r="K4" s="18"/>
      <c r="L4" s="18"/>
      <c r="M4" s="82"/>
      <c r="N4" s="82"/>
      <c r="O4" s="82"/>
      <c r="P4" s="82"/>
      <c r="Q4" s="82"/>
      <c r="R4" s="82"/>
      <c r="S4" s="153"/>
      <c r="T4" s="26">
        <f>SUM(D4:S4)</f>
        <v>100</v>
      </c>
    </row>
    <row r="5" spans="1:22" ht="15.75" thickBot="1" x14ac:dyDescent="0.3">
      <c r="A5" s="93" t="s">
        <v>8</v>
      </c>
      <c r="B5" s="40" t="s">
        <v>114</v>
      </c>
      <c r="C5" s="41" t="s">
        <v>42</v>
      </c>
      <c r="D5" s="99"/>
      <c r="E5" s="43"/>
      <c r="F5" s="43"/>
      <c r="G5" s="43"/>
      <c r="H5" s="43">
        <f>100-(59.72-44.75)/44.75*50</f>
        <v>83.273743016759781</v>
      </c>
      <c r="I5" s="43"/>
      <c r="J5" s="43"/>
      <c r="K5" s="46"/>
      <c r="L5" s="46"/>
      <c r="M5" s="43"/>
      <c r="N5" s="43"/>
      <c r="O5" s="43"/>
      <c r="P5" s="43"/>
      <c r="Q5" s="43"/>
      <c r="R5" s="43"/>
      <c r="S5" s="148"/>
      <c r="T5" s="124">
        <f>SUM(D5:S5)</f>
        <v>83.273743016759781</v>
      </c>
    </row>
    <row r="6" spans="1:22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49"/>
      <c r="O6" s="49"/>
      <c r="P6" s="49"/>
      <c r="Q6" s="49"/>
      <c r="R6" s="51"/>
      <c r="S6" s="49"/>
      <c r="T6" s="52"/>
    </row>
    <row r="7" spans="1:22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49"/>
      <c r="O7" s="49"/>
      <c r="P7" s="49"/>
      <c r="Q7" s="49"/>
      <c r="R7" s="2"/>
      <c r="S7" s="2"/>
      <c r="T7" s="52"/>
    </row>
    <row r="8" spans="1:22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49"/>
      <c r="O8" s="2"/>
      <c r="P8" s="2"/>
      <c r="Q8" s="2"/>
      <c r="R8" s="2"/>
      <c r="S8" s="2"/>
      <c r="T8" s="2"/>
    </row>
    <row r="9" spans="1:22" s="54" customFormat="1" x14ac:dyDescent="0.25">
      <c r="A9" s="54" t="s">
        <v>36</v>
      </c>
    </row>
    <row r="10" spans="1:22" s="55" customFormat="1" x14ac:dyDescent="0.25">
      <c r="A10" s="55" t="s">
        <v>37</v>
      </c>
    </row>
  </sheetData>
  <sortState ref="B3:T5">
    <sortCondition descending="1" ref="T3"/>
  </sortState>
  <mergeCells count="1">
    <mergeCell ref="A1:T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9"/>
  <sheetViews>
    <sheetView workbookViewId="0">
      <selection activeCell="W6" sqref="W6"/>
    </sheetView>
  </sheetViews>
  <sheetFormatPr defaultColWidth="9" defaultRowHeight="15" x14ac:dyDescent="0.25"/>
  <cols>
    <col min="1" max="1" width="5.42578125" style="3" customWidth="1"/>
    <col min="2" max="2" width="18" style="3" customWidth="1"/>
    <col min="3" max="3" width="11.85546875" style="3" customWidth="1"/>
    <col min="4" max="20" width="9.140625" style="3" customWidth="1"/>
    <col min="21" max="34" width="9" style="2"/>
    <col min="35" max="256" width="9" style="3"/>
    <col min="257" max="257" width="5.42578125" style="3" customWidth="1"/>
    <col min="258" max="258" width="18" style="3" customWidth="1"/>
    <col min="259" max="259" width="11.85546875" style="3" customWidth="1"/>
    <col min="260" max="276" width="9.140625" style="3" customWidth="1"/>
    <col min="277" max="512" width="9" style="3"/>
    <col min="513" max="513" width="5.42578125" style="3" customWidth="1"/>
    <col min="514" max="514" width="18" style="3" customWidth="1"/>
    <col min="515" max="515" width="11.85546875" style="3" customWidth="1"/>
    <col min="516" max="532" width="9.140625" style="3" customWidth="1"/>
    <col min="533" max="768" width="9" style="3"/>
    <col min="769" max="769" width="5.42578125" style="3" customWidth="1"/>
    <col min="770" max="770" width="18" style="3" customWidth="1"/>
    <col min="771" max="771" width="11.85546875" style="3" customWidth="1"/>
    <col min="772" max="788" width="9.140625" style="3" customWidth="1"/>
    <col min="789" max="1024" width="9" style="3"/>
    <col min="1025" max="1025" width="5.42578125" style="3" customWidth="1"/>
    <col min="1026" max="1026" width="18" style="3" customWidth="1"/>
    <col min="1027" max="1027" width="11.85546875" style="3" customWidth="1"/>
    <col min="1028" max="1044" width="9.140625" style="3" customWidth="1"/>
    <col min="1045" max="1280" width="9" style="3"/>
    <col min="1281" max="1281" width="5.42578125" style="3" customWidth="1"/>
    <col min="1282" max="1282" width="18" style="3" customWidth="1"/>
    <col min="1283" max="1283" width="11.85546875" style="3" customWidth="1"/>
    <col min="1284" max="1300" width="9.140625" style="3" customWidth="1"/>
    <col min="1301" max="1536" width="9" style="3"/>
    <col min="1537" max="1537" width="5.42578125" style="3" customWidth="1"/>
    <col min="1538" max="1538" width="18" style="3" customWidth="1"/>
    <col min="1539" max="1539" width="11.85546875" style="3" customWidth="1"/>
    <col min="1540" max="1556" width="9.140625" style="3" customWidth="1"/>
    <col min="1557" max="1792" width="9" style="3"/>
    <col min="1793" max="1793" width="5.42578125" style="3" customWidth="1"/>
    <col min="1794" max="1794" width="18" style="3" customWidth="1"/>
    <col min="1795" max="1795" width="11.85546875" style="3" customWidth="1"/>
    <col min="1796" max="1812" width="9.140625" style="3" customWidth="1"/>
    <col min="1813" max="2048" width="9" style="3"/>
    <col min="2049" max="2049" width="5.42578125" style="3" customWidth="1"/>
    <col min="2050" max="2050" width="18" style="3" customWidth="1"/>
    <col min="2051" max="2051" width="11.85546875" style="3" customWidth="1"/>
    <col min="2052" max="2068" width="9.140625" style="3" customWidth="1"/>
    <col min="2069" max="2304" width="9" style="3"/>
    <col min="2305" max="2305" width="5.42578125" style="3" customWidth="1"/>
    <col min="2306" max="2306" width="18" style="3" customWidth="1"/>
    <col min="2307" max="2307" width="11.85546875" style="3" customWidth="1"/>
    <col min="2308" max="2324" width="9.140625" style="3" customWidth="1"/>
    <col min="2325" max="2560" width="9" style="3"/>
    <col min="2561" max="2561" width="5.42578125" style="3" customWidth="1"/>
    <col min="2562" max="2562" width="18" style="3" customWidth="1"/>
    <col min="2563" max="2563" width="11.85546875" style="3" customWidth="1"/>
    <col min="2564" max="2580" width="9.140625" style="3" customWidth="1"/>
    <col min="2581" max="2816" width="9" style="3"/>
    <col min="2817" max="2817" width="5.42578125" style="3" customWidth="1"/>
    <col min="2818" max="2818" width="18" style="3" customWidth="1"/>
    <col min="2819" max="2819" width="11.85546875" style="3" customWidth="1"/>
    <col min="2820" max="2836" width="9.140625" style="3" customWidth="1"/>
    <col min="2837" max="3072" width="9" style="3"/>
    <col min="3073" max="3073" width="5.42578125" style="3" customWidth="1"/>
    <col min="3074" max="3074" width="18" style="3" customWidth="1"/>
    <col min="3075" max="3075" width="11.85546875" style="3" customWidth="1"/>
    <col min="3076" max="3092" width="9.140625" style="3" customWidth="1"/>
    <col min="3093" max="3328" width="9" style="3"/>
    <col min="3329" max="3329" width="5.42578125" style="3" customWidth="1"/>
    <col min="3330" max="3330" width="18" style="3" customWidth="1"/>
    <col min="3331" max="3331" width="11.85546875" style="3" customWidth="1"/>
    <col min="3332" max="3348" width="9.140625" style="3" customWidth="1"/>
    <col min="3349" max="3584" width="9" style="3"/>
    <col min="3585" max="3585" width="5.42578125" style="3" customWidth="1"/>
    <col min="3586" max="3586" width="18" style="3" customWidth="1"/>
    <col min="3587" max="3587" width="11.85546875" style="3" customWidth="1"/>
    <col min="3588" max="3604" width="9.140625" style="3" customWidth="1"/>
    <col min="3605" max="3840" width="9" style="3"/>
    <col min="3841" max="3841" width="5.42578125" style="3" customWidth="1"/>
    <col min="3842" max="3842" width="18" style="3" customWidth="1"/>
    <col min="3843" max="3843" width="11.85546875" style="3" customWidth="1"/>
    <col min="3844" max="3860" width="9.140625" style="3" customWidth="1"/>
    <col min="3861" max="4096" width="9" style="3"/>
    <col min="4097" max="4097" width="5.42578125" style="3" customWidth="1"/>
    <col min="4098" max="4098" width="18" style="3" customWidth="1"/>
    <col min="4099" max="4099" width="11.85546875" style="3" customWidth="1"/>
    <col min="4100" max="4116" width="9.140625" style="3" customWidth="1"/>
    <col min="4117" max="4352" width="9" style="3"/>
    <col min="4353" max="4353" width="5.42578125" style="3" customWidth="1"/>
    <col min="4354" max="4354" width="18" style="3" customWidth="1"/>
    <col min="4355" max="4355" width="11.85546875" style="3" customWidth="1"/>
    <col min="4356" max="4372" width="9.140625" style="3" customWidth="1"/>
    <col min="4373" max="4608" width="9" style="3"/>
    <col min="4609" max="4609" width="5.42578125" style="3" customWidth="1"/>
    <col min="4610" max="4610" width="18" style="3" customWidth="1"/>
    <col min="4611" max="4611" width="11.85546875" style="3" customWidth="1"/>
    <col min="4612" max="4628" width="9.140625" style="3" customWidth="1"/>
    <col min="4629" max="4864" width="9" style="3"/>
    <col min="4865" max="4865" width="5.42578125" style="3" customWidth="1"/>
    <col min="4866" max="4866" width="18" style="3" customWidth="1"/>
    <col min="4867" max="4867" width="11.85546875" style="3" customWidth="1"/>
    <col min="4868" max="4884" width="9.140625" style="3" customWidth="1"/>
    <col min="4885" max="5120" width="9" style="3"/>
    <col min="5121" max="5121" width="5.42578125" style="3" customWidth="1"/>
    <col min="5122" max="5122" width="18" style="3" customWidth="1"/>
    <col min="5123" max="5123" width="11.85546875" style="3" customWidth="1"/>
    <col min="5124" max="5140" width="9.140625" style="3" customWidth="1"/>
    <col min="5141" max="5376" width="9" style="3"/>
    <col min="5377" max="5377" width="5.42578125" style="3" customWidth="1"/>
    <col min="5378" max="5378" width="18" style="3" customWidth="1"/>
    <col min="5379" max="5379" width="11.85546875" style="3" customWidth="1"/>
    <col min="5380" max="5396" width="9.140625" style="3" customWidth="1"/>
    <col min="5397" max="5632" width="9" style="3"/>
    <col min="5633" max="5633" width="5.42578125" style="3" customWidth="1"/>
    <col min="5634" max="5634" width="18" style="3" customWidth="1"/>
    <col min="5635" max="5635" width="11.85546875" style="3" customWidth="1"/>
    <col min="5636" max="5652" width="9.140625" style="3" customWidth="1"/>
    <col min="5653" max="5888" width="9" style="3"/>
    <col min="5889" max="5889" width="5.42578125" style="3" customWidth="1"/>
    <col min="5890" max="5890" width="18" style="3" customWidth="1"/>
    <col min="5891" max="5891" width="11.85546875" style="3" customWidth="1"/>
    <col min="5892" max="5908" width="9.140625" style="3" customWidth="1"/>
    <col min="5909" max="6144" width="9" style="3"/>
    <col min="6145" max="6145" width="5.42578125" style="3" customWidth="1"/>
    <col min="6146" max="6146" width="18" style="3" customWidth="1"/>
    <col min="6147" max="6147" width="11.85546875" style="3" customWidth="1"/>
    <col min="6148" max="6164" width="9.140625" style="3" customWidth="1"/>
    <col min="6165" max="6400" width="9" style="3"/>
    <col min="6401" max="6401" width="5.42578125" style="3" customWidth="1"/>
    <col min="6402" max="6402" width="18" style="3" customWidth="1"/>
    <col min="6403" max="6403" width="11.85546875" style="3" customWidth="1"/>
    <col min="6404" max="6420" width="9.140625" style="3" customWidth="1"/>
    <col min="6421" max="6656" width="9" style="3"/>
    <col min="6657" max="6657" width="5.42578125" style="3" customWidth="1"/>
    <col min="6658" max="6658" width="18" style="3" customWidth="1"/>
    <col min="6659" max="6659" width="11.85546875" style="3" customWidth="1"/>
    <col min="6660" max="6676" width="9.140625" style="3" customWidth="1"/>
    <col min="6677" max="6912" width="9" style="3"/>
    <col min="6913" max="6913" width="5.42578125" style="3" customWidth="1"/>
    <col min="6914" max="6914" width="18" style="3" customWidth="1"/>
    <col min="6915" max="6915" width="11.85546875" style="3" customWidth="1"/>
    <col min="6916" max="6932" width="9.140625" style="3" customWidth="1"/>
    <col min="6933" max="7168" width="9" style="3"/>
    <col min="7169" max="7169" width="5.42578125" style="3" customWidth="1"/>
    <col min="7170" max="7170" width="18" style="3" customWidth="1"/>
    <col min="7171" max="7171" width="11.85546875" style="3" customWidth="1"/>
    <col min="7172" max="7188" width="9.140625" style="3" customWidth="1"/>
    <col min="7189" max="7424" width="9" style="3"/>
    <col min="7425" max="7425" width="5.42578125" style="3" customWidth="1"/>
    <col min="7426" max="7426" width="18" style="3" customWidth="1"/>
    <col min="7427" max="7427" width="11.85546875" style="3" customWidth="1"/>
    <col min="7428" max="7444" width="9.140625" style="3" customWidth="1"/>
    <col min="7445" max="7680" width="9" style="3"/>
    <col min="7681" max="7681" width="5.42578125" style="3" customWidth="1"/>
    <col min="7682" max="7682" width="18" style="3" customWidth="1"/>
    <col min="7683" max="7683" width="11.85546875" style="3" customWidth="1"/>
    <col min="7684" max="7700" width="9.140625" style="3" customWidth="1"/>
    <col min="7701" max="7936" width="9" style="3"/>
    <col min="7937" max="7937" width="5.42578125" style="3" customWidth="1"/>
    <col min="7938" max="7938" width="18" style="3" customWidth="1"/>
    <col min="7939" max="7939" width="11.85546875" style="3" customWidth="1"/>
    <col min="7940" max="7956" width="9.140625" style="3" customWidth="1"/>
    <col min="7957" max="8192" width="9" style="3"/>
    <col min="8193" max="8193" width="5.42578125" style="3" customWidth="1"/>
    <col min="8194" max="8194" width="18" style="3" customWidth="1"/>
    <col min="8195" max="8195" width="11.85546875" style="3" customWidth="1"/>
    <col min="8196" max="8212" width="9.140625" style="3" customWidth="1"/>
    <col min="8213" max="8448" width="9" style="3"/>
    <col min="8449" max="8449" width="5.42578125" style="3" customWidth="1"/>
    <col min="8450" max="8450" width="18" style="3" customWidth="1"/>
    <col min="8451" max="8451" width="11.85546875" style="3" customWidth="1"/>
    <col min="8452" max="8468" width="9.140625" style="3" customWidth="1"/>
    <col min="8469" max="8704" width="9" style="3"/>
    <col min="8705" max="8705" width="5.42578125" style="3" customWidth="1"/>
    <col min="8706" max="8706" width="18" style="3" customWidth="1"/>
    <col min="8707" max="8707" width="11.85546875" style="3" customWidth="1"/>
    <col min="8708" max="8724" width="9.140625" style="3" customWidth="1"/>
    <col min="8725" max="8960" width="9" style="3"/>
    <col min="8961" max="8961" width="5.42578125" style="3" customWidth="1"/>
    <col min="8962" max="8962" width="18" style="3" customWidth="1"/>
    <col min="8963" max="8963" width="11.85546875" style="3" customWidth="1"/>
    <col min="8964" max="8980" width="9.140625" style="3" customWidth="1"/>
    <col min="8981" max="9216" width="9" style="3"/>
    <col min="9217" max="9217" width="5.42578125" style="3" customWidth="1"/>
    <col min="9218" max="9218" width="18" style="3" customWidth="1"/>
    <col min="9219" max="9219" width="11.85546875" style="3" customWidth="1"/>
    <col min="9220" max="9236" width="9.140625" style="3" customWidth="1"/>
    <col min="9237" max="9472" width="9" style="3"/>
    <col min="9473" max="9473" width="5.42578125" style="3" customWidth="1"/>
    <col min="9474" max="9474" width="18" style="3" customWidth="1"/>
    <col min="9475" max="9475" width="11.85546875" style="3" customWidth="1"/>
    <col min="9476" max="9492" width="9.140625" style="3" customWidth="1"/>
    <col min="9493" max="9728" width="9" style="3"/>
    <col min="9729" max="9729" width="5.42578125" style="3" customWidth="1"/>
    <col min="9730" max="9730" width="18" style="3" customWidth="1"/>
    <col min="9731" max="9731" width="11.85546875" style="3" customWidth="1"/>
    <col min="9732" max="9748" width="9.140625" style="3" customWidth="1"/>
    <col min="9749" max="9984" width="9" style="3"/>
    <col min="9985" max="9985" width="5.42578125" style="3" customWidth="1"/>
    <col min="9986" max="9986" width="18" style="3" customWidth="1"/>
    <col min="9987" max="9987" width="11.85546875" style="3" customWidth="1"/>
    <col min="9988" max="10004" width="9.140625" style="3" customWidth="1"/>
    <col min="10005" max="10240" width="9" style="3"/>
    <col min="10241" max="10241" width="5.42578125" style="3" customWidth="1"/>
    <col min="10242" max="10242" width="18" style="3" customWidth="1"/>
    <col min="10243" max="10243" width="11.85546875" style="3" customWidth="1"/>
    <col min="10244" max="10260" width="9.140625" style="3" customWidth="1"/>
    <col min="10261" max="10496" width="9" style="3"/>
    <col min="10497" max="10497" width="5.42578125" style="3" customWidth="1"/>
    <col min="10498" max="10498" width="18" style="3" customWidth="1"/>
    <col min="10499" max="10499" width="11.85546875" style="3" customWidth="1"/>
    <col min="10500" max="10516" width="9.140625" style="3" customWidth="1"/>
    <col min="10517" max="10752" width="9" style="3"/>
    <col min="10753" max="10753" width="5.42578125" style="3" customWidth="1"/>
    <col min="10754" max="10754" width="18" style="3" customWidth="1"/>
    <col min="10755" max="10755" width="11.85546875" style="3" customWidth="1"/>
    <col min="10756" max="10772" width="9.140625" style="3" customWidth="1"/>
    <col min="10773" max="11008" width="9" style="3"/>
    <col min="11009" max="11009" width="5.42578125" style="3" customWidth="1"/>
    <col min="11010" max="11010" width="18" style="3" customWidth="1"/>
    <col min="11011" max="11011" width="11.85546875" style="3" customWidth="1"/>
    <col min="11012" max="11028" width="9.140625" style="3" customWidth="1"/>
    <col min="11029" max="11264" width="9" style="3"/>
    <col min="11265" max="11265" width="5.42578125" style="3" customWidth="1"/>
    <col min="11266" max="11266" width="18" style="3" customWidth="1"/>
    <col min="11267" max="11267" width="11.85546875" style="3" customWidth="1"/>
    <col min="11268" max="11284" width="9.140625" style="3" customWidth="1"/>
    <col min="11285" max="11520" width="9" style="3"/>
    <col min="11521" max="11521" width="5.42578125" style="3" customWidth="1"/>
    <col min="11522" max="11522" width="18" style="3" customWidth="1"/>
    <col min="11523" max="11523" width="11.85546875" style="3" customWidth="1"/>
    <col min="11524" max="11540" width="9.140625" style="3" customWidth="1"/>
    <col min="11541" max="11776" width="9" style="3"/>
    <col min="11777" max="11777" width="5.42578125" style="3" customWidth="1"/>
    <col min="11778" max="11778" width="18" style="3" customWidth="1"/>
    <col min="11779" max="11779" width="11.85546875" style="3" customWidth="1"/>
    <col min="11780" max="11796" width="9.140625" style="3" customWidth="1"/>
    <col min="11797" max="12032" width="9" style="3"/>
    <col min="12033" max="12033" width="5.42578125" style="3" customWidth="1"/>
    <col min="12034" max="12034" width="18" style="3" customWidth="1"/>
    <col min="12035" max="12035" width="11.85546875" style="3" customWidth="1"/>
    <col min="12036" max="12052" width="9.140625" style="3" customWidth="1"/>
    <col min="12053" max="12288" width="9" style="3"/>
    <col min="12289" max="12289" width="5.42578125" style="3" customWidth="1"/>
    <col min="12290" max="12290" width="18" style="3" customWidth="1"/>
    <col min="12291" max="12291" width="11.85546875" style="3" customWidth="1"/>
    <col min="12292" max="12308" width="9.140625" style="3" customWidth="1"/>
    <col min="12309" max="12544" width="9" style="3"/>
    <col min="12545" max="12545" width="5.42578125" style="3" customWidth="1"/>
    <col min="12546" max="12546" width="18" style="3" customWidth="1"/>
    <col min="12547" max="12547" width="11.85546875" style="3" customWidth="1"/>
    <col min="12548" max="12564" width="9.140625" style="3" customWidth="1"/>
    <col min="12565" max="12800" width="9" style="3"/>
    <col min="12801" max="12801" width="5.42578125" style="3" customWidth="1"/>
    <col min="12802" max="12802" width="18" style="3" customWidth="1"/>
    <col min="12803" max="12803" width="11.85546875" style="3" customWidth="1"/>
    <col min="12804" max="12820" width="9.140625" style="3" customWidth="1"/>
    <col min="12821" max="13056" width="9" style="3"/>
    <col min="13057" max="13057" width="5.42578125" style="3" customWidth="1"/>
    <col min="13058" max="13058" width="18" style="3" customWidth="1"/>
    <col min="13059" max="13059" width="11.85546875" style="3" customWidth="1"/>
    <col min="13060" max="13076" width="9.140625" style="3" customWidth="1"/>
    <col min="13077" max="13312" width="9" style="3"/>
    <col min="13313" max="13313" width="5.42578125" style="3" customWidth="1"/>
    <col min="13314" max="13314" width="18" style="3" customWidth="1"/>
    <col min="13315" max="13315" width="11.85546875" style="3" customWidth="1"/>
    <col min="13316" max="13332" width="9.140625" style="3" customWidth="1"/>
    <col min="13333" max="13568" width="9" style="3"/>
    <col min="13569" max="13569" width="5.42578125" style="3" customWidth="1"/>
    <col min="13570" max="13570" width="18" style="3" customWidth="1"/>
    <col min="13571" max="13571" width="11.85546875" style="3" customWidth="1"/>
    <col min="13572" max="13588" width="9.140625" style="3" customWidth="1"/>
    <col min="13589" max="13824" width="9" style="3"/>
    <col min="13825" max="13825" width="5.42578125" style="3" customWidth="1"/>
    <col min="13826" max="13826" width="18" style="3" customWidth="1"/>
    <col min="13827" max="13827" width="11.85546875" style="3" customWidth="1"/>
    <col min="13828" max="13844" width="9.140625" style="3" customWidth="1"/>
    <col min="13845" max="14080" width="9" style="3"/>
    <col min="14081" max="14081" width="5.42578125" style="3" customWidth="1"/>
    <col min="14082" max="14082" width="18" style="3" customWidth="1"/>
    <col min="14083" max="14083" width="11.85546875" style="3" customWidth="1"/>
    <col min="14084" max="14100" width="9.140625" style="3" customWidth="1"/>
    <col min="14101" max="14336" width="9" style="3"/>
    <col min="14337" max="14337" width="5.42578125" style="3" customWidth="1"/>
    <col min="14338" max="14338" width="18" style="3" customWidth="1"/>
    <col min="14339" max="14339" width="11.85546875" style="3" customWidth="1"/>
    <col min="14340" max="14356" width="9.140625" style="3" customWidth="1"/>
    <col min="14357" max="14592" width="9" style="3"/>
    <col min="14593" max="14593" width="5.42578125" style="3" customWidth="1"/>
    <col min="14594" max="14594" width="18" style="3" customWidth="1"/>
    <col min="14595" max="14595" width="11.85546875" style="3" customWidth="1"/>
    <col min="14596" max="14612" width="9.140625" style="3" customWidth="1"/>
    <col min="14613" max="14848" width="9" style="3"/>
    <col min="14849" max="14849" width="5.42578125" style="3" customWidth="1"/>
    <col min="14850" max="14850" width="18" style="3" customWidth="1"/>
    <col min="14851" max="14851" width="11.85546875" style="3" customWidth="1"/>
    <col min="14852" max="14868" width="9.140625" style="3" customWidth="1"/>
    <col min="14869" max="15104" width="9" style="3"/>
    <col min="15105" max="15105" width="5.42578125" style="3" customWidth="1"/>
    <col min="15106" max="15106" width="18" style="3" customWidth="1"/>
    <col min="15107" max="15107" width="11.85546875" style="3" customWidth="1"/>
    <col min="15108" max="15124" width="9.140625" style="3" customWidth="1"/>
    <col min="15125" max="15360" width="9" style="3"/>
    <col min="15361" max="15361" width="5.42578125" style="3" customWidth="1"/>
    <col min="15362" max="15362" width="18" style="3" customWidth="1"/>
    <col min="15363" max="15363" width="11.85546875" style="3" customWidth="1"/>
    <col min="15364" max="15380" width="9.140625" style="3" customWidth="1"/>
    <col min="15381" max="15616" width="9" style="3"/>
    <col min="15617" max="15617" width="5.42578125" style="3" customWidth="1"/>
    <col min="15618" max="15618" width="18" style="3" customWidth="1"/>
    <col min="15619" max="15619" width="11.85546875" style="3" customWidth="1"/>
    <col min="15620" max="15636" width="9.140625" style="3" customWidth="1"/>
    <col min="15637" max="15872" width="9" style="3"/>
    <col min="15873" max="15873" width="5.42578125" style="3" customWidth="1"/>
    <col min="15874" max="15874" width="18" style="3" customWidth="1"/>
    <col min="15875" max="15875" width="11.85546875" style="3" customWidth="1"/>
    <col min="15876" max="15892" width="9.140625" style="3" customWidth="1"/>
    <col min="15893" max="16128" width="9" style="3"/>
    <col min="16129" max="16129" width="5.42578125" style="3" customWidth="1"/>
    <col min="16130" max="16130" width="18" style="3" customWidth="1"/>
    <col min="16131" max="16131" width="11.85546875" style="3" customWidth="1"/>
    <col min="16132" max="16148" width="9.140625" style="3" customWidth="1"/>
    <col min="16149" max="16384" width="9" style="3"/>
  </cols>
  <sheetData>
    <row r="1" spans="1:22" ht="34.5" thickBot="1" x14ac:dyDescent="0.3">
      <c r="A1" s="170" t="s">
        <v>69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2"/>
      <c r="U1" s="1"/>
      <c r="V1" s="1"/>
    </row>
    <row r="2" spans="1:22" ht="171.75" customHeight="1" thickBot="1" x14ac:dyDescent="0.3">
      <c r="A2" s="91" t="s">
        <v>0</v>
      </c>
      <c r="B2" s="5" t="s">
        <v>1</v>
      </c>
      <c r="C2" s="6" t="s">
        <v>2</v>
      </c>
      <c r="D2" s="7" t="s">
        <v>70</v>
      </c>
      <c r="E2" s="8" t="s">
        <v>71</v>
      </c>
      <c r="F2" s="7" t="s">
        <v>80</v>
      </c>
      <c r="G2" s="7" t="s">
        <v>81</v>
      </c>
      <c r="H2" s="7" t="s">
        <v>96</v>
      </c>
      <c r="I2" s="7" t="s">
        <v>95</v>
      </c>
      <c r="J2" s="8" t="s">
        <v>116</v>
      </c>
      <c r="K2" s="8" t="s">
        <v>117</v>
      </c>
      <c r="L2" s="8"/>
      <c r="M2" s="8"/>
      <c r="N2" s="8"/>
      <c r="O2" s="8"/>
      <c r="P2" s="8"/>
      <c r="Q2" s="8"/>
      <c r="R2" s="7"/>
      <c r="S2" s="7"/>
      <c r="T2" s="9" t="s">
        <v>3</v>
      </c>
      <c r="U2" s="10"/>
      <c r="V2" s="10"/>
    </row>
    <row r="3" spans="1:22" x14ac:dyDescent="0.25">
      <c r="A3" s="86" t="s">
        <v>4</v>
      </c>
      <c r="B3" s="14" t="s">
        <v>64</v>
      </c>
      <c r="C3" s="15" t="s">
        <v>39</v>
      </c>
      <c r="D3" s="16"/>
      <c r="E3" s="17">
        <f>100-(70.37-61.83)/61.83*50</f>
        <v>93.093967329775182</v>
      </c>
      <c r="F3" s="17">
        <f>100-(31.2-27.97)/27.97*50</f>
        <v>94.225956381837676</v>
      </c>
      <c r="G3" s="17">
        <f>100-(108.02-90.92)/90.92*50</f>
        <v>90.596128464584254</v>
      </c>
      <c r="H3" s="18">
        <f>100-(32.95-32.95)/32.95*50</f>
        <v>100</v>
      </c>
      <c r="I3" s="17">
        <f>100-(71.98-66.3)/66.3*50</f>
        <v>95.716440422322776</v>
      </c>
      <c r="J3" s="17">
        <f>100-(38.57-38.57)/38.57*50</f>
        <v>100</v>
      </c>
      <c r="K3" s="17">
        <f>100-(55.27-55.27)/55.27*50</f>
        <v>100</v>
      </c>
      <c r="L3" s="17"/>
      <c r="M3" s="17"/>
      <c r="N3" s="87"/>
      <c r="O3" s="17"/>
      <c r="P3" s="17"/>
      <c r="Q3" s="17"/>
      <c r="R3" s="17"/>
      <c r="S3" s="106"/>
      <c r="T3" s="20">
        <f t="shared" ref="T3:T13" si="0">SUM(D3:S3)</f>
        <v>673.63249259851989</v>
      </c>
    </row>
    <row r="4" spans="1:22" x14ac:dyDescent="0.25">
      <c r="A4" s="92" t="s">
        <v>6</v>
      </c>
      <c r="B4" s="23" t="s">
        <v>60</v>
      </c>
      <c r="C4" s="24" t="s">
        <v>61</v>
      </c>
      <c r="D4" s="19">
        <f>100-(89.13-89.13)/89.13*50</f>
        <v>100</v>
      </c>
      <c r="E4" s="25">
        <f>100-(61.83-61.83)/61.83*50</f>
        <v>100</v>
      </c>
      <c r="F4" s="25">
        <f>100-(27.97-27.97)/27.97*50</f>
        <v>100</v>
      </c>
      <c r="G4" s="25">
        <f>100-(90.92-90.92)/90.92*50</f>
        <v>100</v>
      </c>
      <c r="H4" s="25">
        <f>100-(35.42-32.95)/32.95*50</f>
        <v>96.251896813353568</v>
      </c>
      <c r="I4" s="82">
        <f>100-(66.3-66.3)/66.3*50</f>
        <v>100</v>
      </c>
      <c r="J4" s="25"/>
      <c r="K4" s="25"/>
      <c r="L4" s="18"/>
      <c r="M4" s="18"/>
      <c r="N4" s="25"/>
      <c r="O4" s="25"/>
      <c r="P4" s="25"/>
      <c r="Q4" s="25"/>
      <c r="R4" s="18"/>
      <c r="S4" s="29"/>
      <c r="T4" s="26">
        <f t="shared" si="0"/>
        <v>596.2518968133536</v>
      </c>
    </row>
    <row r="5" spans="1:22" x14ac:dyDescent="0.25">
      <c r="A5" s="92" t="s">
        <v>8</v>
      </c>
      <c r="B5" s="23" t="s">
        <v>62</v>
      </c>
      <c r="C5" s="24" t="s">
        <v>39</v>
      </c>
      <c r="D5" s="36">
        <f>100-(97.38-89.13)/89.13*50</f>
        <v>95.371928643554355</v>
      </c>
      <c r="E5" s="25">
        <f>100-(70.33-61.83)/61.83*50</f>
        <v>93.126314087012773</v>
      </c>
      <c r="F5" s="25">
        <f>100-(30.35-27.97)/27.97*50</f>
        <v>95.745441544511976</v>
      </c>
      <c r="G5" s="105" t="s">
        <v>12</v>
      </c>
      <c r="H5" s="120" t="s">
        <v>12</v>
      </c>
      <c r="I5" s="120" t="s">
        <v>12</v>
      </c>
      <c r="J5" s="18"/>
      <c r="K5" s="25">
        <f>100-(57.73-55.27)/55.27*50</f>
        <v>97.774561244798264</v>
      </c>
      <c r="L5" s="25"/>
      <c r="M5" s="25"/>
      <c r="N5" s="25"/>
      <c r="O5" s="119"/>
      <c r="P5" s="25"/>
      <c r="Q5" s="119"/>
      <c r="R5" s="25"/>
      <c r="S5" s="72"/>
      <c r="T5" s="26">
        <f t="shared" si="0"/>
        <v>382.01824551987738</v>
      </c>
    </row>
    <row r="6" spans="1:22" x14ac:dyDescent="0.25">
      <c r="A6" s="92" t="s">
        <v>11</v>
      </c>
      <c r="B6" s="23" t="s">
        <v>63</v>
      </c>
      <c r="C6" s="24" t="s">
        <v>22</v>
      </c>
      <c r="D6" s="19"/>
      <c r="E6" s="105" t="s">
        <v>12</v>
      </c>
      <c r="F6" s="25">
        <f>100-(45.07-27.97)/27.97*50</f>
        <v>69.431533786199495</v>
      </c>
      <c r="G6" s="18">
        <f>100-(133.17-90.92)/90.92*50</f>
        <v>76.765288165420159</v>
      </c>
      <c r="H6" s="18">
        <f>100-(53.48-32.95)/32.95*50</f>
        <v>68.84673748103188</v>
      </c>
      <c r="I6" s="18">
        <f>100-(84.32-66.3)/66.3*50</f>
        <v>86.410256410256409</v>
      </c>
      <c r="J6" s="117" t="s">
        <v>12</v>
      </c>
      <c r="K6" s="25">
        <f>100-(91.17-55.27)/55.27*50</f>
        <v>67.523068572462449</v>
      </c>
      <c r="L6" s="25"/>
      <c r="M6" s="25"/>
      <c r="N6" s="18"/>
      <c r="O6" s="25"/>
      <c r="P6" s="25"/>
      <c r="Q6" s="25"/>
      <c r="R6" s="18"/>
      <c r="S6" s="169"/>
      <c r="T6" s="26">
        <f t="shared" si="0"/>
        <v>368.97688441537036</v>
      </c>
    </row>
    <row r="7" spans="1:22" x14ac:dyDescent="0.25">
      <c r="A7" s="92" t="s">
        <v>13</v>
      </c>
      <c r="B7" s="23" t="s">
        <v>115</v>
      </c>
      <c r="C7" s="24"/>
      <c r="D7" s="33"/>
      <c r="E7" s="21"/>
      <c r="F7" s="21"/>
      <c r="G7" s="21"/>
      <c r="H7" s="21"/>
      <c r="I7" s="18">
        <f>100-(83.98-66.3)/66.3*50</f>
        <v>86.666666666666657</v>
      </c>
      <c r="J7" s="18">
        <f>100-(44.65-38.57)/38.57*50</f>
        <v>92.118226600985224</v>
      </c>
      <c r="K7" s="18">
        <f>100-(78.23-55.27)/55.27*50</f>
        <v>79.22923828478379</v>
      </c>
      <c r="L7" s="58"/>
      <c r="M7" s="21"/>
      <c r="N7" s="18"/>
      <c r="O7" s="18"/>
      <c r="P7" s="18"/>
      <c r="Q7" s="18"/>
      <c r="R7" s="21"/>
      <c r="S7" s="29"/>
      <c r="T7" s="26">
        <f t="shared" si="0"/>
        <v>258.01413155243569</v>
      </c>
    </row>
    <row r="8" spans="1:22" x14ac:dyDescent="0.25">
      <c r="A8" s="92" t="s">
        <v>15</v>
      </c>
      <c r="B8" s="23" t="s">
        <v>87</v>
      </c>
      <c r="C8" s="24" t="s">
        <v>85</v>
      </c>
      <c r="D8" s="35"/>
      <c r="E8" s="25"/>
      <c r="F8" s="58"/>
      <c r="G8" s="18">
        <f>100-(108.67-90.92)/90.92*50</f>
        <v>90.238671359436864</v>
      </c>
      <c r="H8" s="18">
        <f>100-(43.82-32.95)/32.95*50</f>
        <v>83.50531107738999</v>
      </c>
      <c r="I8" s="18">
        <f>100-(90.12-66.3)/66.3*50</f>
        <v>82.036199095022624</v>
      </c>
      <c r="J8" s="58"/>
      <c r="K8" s="21"/>
      <c r="L8" s="21"/>
      <c r="M8" s="25"/>
      <c r="N8" s="21"/>
      <c r="O8" s="21"/>
      <c r="P8" s="21"/>
      <c r="Q8" s="21"/>
      <c r="R8" s="18"/>
      <c r="S8" s="29"/>
      <c r="T8" s="26">
        <f t="shared" si="0"/>
        <v>255.78018153184948</v>
      </c>
    </row>
    <row r="9" spans="1:22" x14ac:dyDescent="0.25">
      <c r="A9" s="92" t="s">
        <v>18</v>
      </c>
      <c r="B9" s="108" t="s">
        <v>91</v>
      </c>
      <c r="C9" s="109" t="s">
        <v>85</v>
      </c>
      <c r="D9" s="110"/>
      <c r="E9" s="112"/>
      <c r="F9" s="112"/>
      <c r="G9" s="18">
        <f>100-(127.03-90.92)/90.92*50</f>
        <v>80.141882974043114</v>
      </c>
      <c r="H9" s="18">
        <f>100-(55.43-32.95)/32.95*50</f>
        <v>65.887708649468891</v>
      </c>
      <c r="I9" s="18">
        <f>100-(98.77-66.3)/66.3*50</f>
        <v>75.512820512820511</v>
      </c>
      <c r="J9" s="21"/>
      <c r="K9" s="21"/>
      <c r="L9" s="21"/>
      <c r="M9" s="18"/>
      <c r="N9" s="21"/>
      <c r="O9" s="18"/>
      <c r="P9" s="18"/>
      <c r="Q9" s="18"/>
      <c r="R9" s="18"/>
      <c r="S9" s="29"/>
      <c r="T9" s="26">
        <f t="shared" si="0"/>
        <v>221.54241213633253</v>
      </c>
    </row>
    <row r="10" spans="1:22" x14ac:dyDescent="0.25">
      <c r="A10" s="92" t="s">
        <v>20</v>
      </c>
      <c r="B10" s="23" t="s">
        <v>72</v>
      </c>
      <c r="C10" s="24" t="s">
        <v>14</v>
      </c>
      <c r="D10" s="36">
        <f>100-(95.28-89.13)/89.13*50</f>
        <v>96.549983170649611</v>
      </c>
      <c r="E10" s="21"/>
      <c r="F10" s="21"/>
      <c r="G10" s="21"/>
      <c r="H10" s="18">
        <f>100-(38.87-32.95)/32.95*50</f>
        <v>91.016691957511384</v>
      </c>
      <c r="I10" s="18"/>
      <c r="J10" s="21"/>
      <c r="K10" s="18"/>
      <c r="L10" s="18"/>
      <c r="M10" s="21"/>
      <c r="N10" s="21"/>
      <c r="O10" s="21"/>
      <c r="P10" s="58"/>
      <c r="Q10" s="58"/>
      <c r="R10" s="58"/>
      <c r="S10" s="161"/>
      <c r="T10" s="26">
        <f t="shared" si="0"/>
        <v>187.56667512816099</v>
      </c>
    </row>
    <row r="11" spans="1:22" x14ac:dyDescent="0.25">
      <c r="A11" s="92" t="s">
        <v>23</v>
      </c>
      <c r="B11" s="23" t="s">
        <v>86</v>
      </c>
      <c r="C11" s="24" t="s">
        <v>85</v>
      </c>
      <c r="D11" s="35"/>
      <c r="E11" s="21"/>
      <c r="F11" s="21"/>
      <c r="G11" s="18">
        <f>100-(93.43-90.92)/90.92*50</f>
        <v>98.619665640123188</v>
      </c>
      <c r="H11" s="18"/>
      <c r="I11" s="37"/>
      <c r="J11" s="58"/>
      <c r="K11" s="75"/>
      <c r="L11" s="18"/>
      <c r="M11" s="38"/>
      <c r="N11" s="168"/>
      <c r="O11" s="58"/>
      <c r="P11" s="21"/>
      <c r="Q11" s="58"/>
      <c r="R11" s="18"/>
      <c r="S11" s="29"/>
      <c r="T11" s="26">
        <f t="shared" si="0"/>
        <v>98.619665640123188</v>
      </c>
    </row>
    <row r="12" spans="1:22" x14ac:dyDescent="0.25">
      <c r="A12" s="92" t="s">
        <v>26</v>
      </c>
      <c r="B12" s="23" t="s">
        <v>58</v>
      </c>
      <c r="C12" s="24" t="s">
        <v>22</v>
      </c>
      <c r="D12" s="19"/>
      <c r="E12" s="18">
        <f>100-(92.38-61.83)/61.83*50</f>
        <v>75.295164159792989</v>
      </c>
      <c r="F12" s="21"/>
      <c r="G12" s="18"/>
      <c r="H12" s="18"/>
      <c r="I12" s="18"/>
      <c r="J12" s="18"/>
      <c r="K12" s="18"/>
      <c r="L12" s="21"/>
      <c r="M12" s="21"/>
      <c r="N12" s="18"/>
      <c r="O12" s="18"/>
      <c r="P12" s="18"/>
      <c r="Q12" s="18"/>
      <c r="R12" s="58"/>
      <c r="S12" s="161"/>
      <c r="T12" s="26">
        <f t="shared" si="0"/>
        <v>75.295164159792989</v>
      </c>
    </row>
    <row r="13" spans="1:22" x14ac:dyDescent="0.25">
      <c r="A13" s="92" t="s">
        <v>27</v>
      </c>
      <c r="B13" s="23" t="s">
        <v>112</v>
      </c>
      <c r="C13" s="24" t="s">
        <v>42</v>
      </c>
      <c r="D13" s="19"/>
      <c r="E13" s="21"/>
      <c r="F13" s="58"/>
      <c r="G13" s="58"/>
      <c r="H13" s="18">
        <f>100-(65.88-32.95)/32.95*50</f>
        <v>50.030349013657073</v>
      </c>
      <c r="I13" s="21"/>
      <c r="J13" s="18"/>
      <c r="K13" s="18"/>
      <c r="L13" s="18"/>
      <c r="M13" s="18"/>
      <c r="N13" s="21"/>
      <c r="O13" s="21"/>
      <c r="P13" s="21"/>
      <c r="Q13" s="21"/>
      <c r="R13" s="18"/>
      <c r="S13" s="29"/>
      <c r="T13" s="26">
        <f t="shared" si="0"/>
        <v>50.030349013657073</v>
      </c>
    </row>
    <row r="14" spans="1:22" ht="15.75" thickBot="1" x14ac:dyDescent="0.3">
      <c r="A14" s="93"/>
      <c r="B14" s="40"/>
      <c r="C14" s="41"/>
      <c r="D14" s="61"/>
      <c r="E14" s="63"/>
      <c r="F14" s="63"/>
      <c r="G14" s="63"/>
      <c r="H14" s="118"/>
      <c r="I14" s="118"/>
      <c r="J14" s="63"/>
      <c r="K14" s="63"/>
      <c r="L14" s="63"/>
      <c r="M14" s="43"/>
      <c r="N14" s="43"/>
      <c r="O14" s="43"/>
      <c r="P14" s="43"/>
      <c r="Q14" s="43"/>
      <c r="R14" s="123"/>
      <c r="S14" s="135"/>
      <c r="T14" s="48">
        <f t="shared" ref="T14" si="1">SUM(D14:S14)</f>
        <v>0</v>
      </c>
    </row>
    <row r="15" spans="1:22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49"/>
      <c r="O15" s="49"/>
      <c r="P15" s="49"/>
      <c r="Q15" s="49"/>
      <c r="R15" s="51"/>
      <c r="S15" s="49"/>
      <c r="T15" s="52"/>
    </row>
    <row r="16" spans="1:22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49"/>
      <c r="O16" s="49"/>
      <c r="P16" s="49"/>
      <c r="Q16" s="49"/>
      <c r="R16" s="2"/>
      <c r="S16" s="2"/>
      <c r="T16" s="52"/>
    </row>
    <row r="17" spans="1:20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49"/>
      <c r="O17" s="2"/>
      <c r="P17" s="2"/>
      <c r="Q17" s="2"/>
      <c r="R17" s="2"/>
      <c r="S17" s="2"/>
      <c r="T17" s="2"/>
    </row>
    <row r="18" spans="1:20" s="54" customFormat="1" x14ac:dyDescent="0.25">
      <c r="A18" s="54" t="s">
        <v>36</v>
      </c>
    </row>
    <row r="19" spans="1:20" s="55" customFormat="1" x14ac:dyDescent="0.25">
      <c r="A19" s="55" t="s">
        <v>37</v>
      </c>
    </row>
  </sheetData>
  <sortState ref="B3:T13">
    <sortCondition descending="1" ref="T3"/>
  </sortState>
  <mergeCells count="1">
    <mergeCell ref="A1:T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workbookViewId="0">
      <selection activeCell="W7" sqref="W7"/>
    </sheetView>
  </sheetViews>
  <sheetFormatPr defaultColWidth="9" defaultRowHeight="15" x14ac:dyDescent="0.25"/>
  <cols>
    <col min="1" max="1" width="5.140625" style="3" customWidth="1"/>
    <col min="2" max="2" width="19.85546875" style="3" customWidth="1"/>
    <col min="3" max="3" width="11.85546875" style="3" customWidth="1"/>
    <col min="4" max="5" width="9.140625" style="3" customWidth="1"/>
    <col min="6" max="6" width="9.140625" style="56" customWidth="1"/>
    <col min="7" max="20" width="9.140625" style="3" customWidth="1"/>
    <col min="21" max="30" width="9" style="2"/>
    <col min="31" max="256" width="9" style="3"/>
    <col min="257" max="257" width="5.140625" style="3" customWidth="1"/>
    <col min="258" max="258" width="19.85546875" style="3" customWidth="1"/>
    <col min="259" max="259" width="11.85546875" style="3" customWidth="1"/>
    <col min="260" max="276" width="9.140625" style="3" customWidth="1"/>
    <col min="277" max="512" width="9" style="3"/>
    <col min="513" max="513" width="5.140625" style="3" customWidth="1"/>
    <col min="514" max="514" width="19.85546875" style="3" customWidth="1"/>
    <col min="515" max="515" width="11.85546875" style="3" customWidth="1"/>
    <col min="516" max="532" width="9.140625" style="3" customWidth="1"/>
    <col min="533" max="768" width="9" style="3"/>
    <col min="769" max="769" width="5.140625" style="3" customWidth="1"/>
    <col min="770" max="770" width="19.85546875" style="3" customWidth="1"/>
    <col min="771" max="771" width="11.85546875" style="3" customWidth="1"/>
    <col min="772" max="788" width="9.140625" style="3" customWidth="1"/>
    <col min="789" max="1024" width="9" style="3"/>
    <col min="1025" max="1025" width="5.140625" style="3" customWidth="1"/>
    <col min="1026" max="1026" width="19.85546875" style="3" customWidth="1"/>
    <col min="1027" max="1027" width="11.85546875" style="3" customWidth="1"/>
    <col min="1028" max="1044" width="9.140625" style="3" customWidth="1"/>
    <col min="1045" max="1280" width="9" style="3"/>
    <col min="1281" max="1281" width="5.140625" style="3" customWidth="1"/>
    <col min="1282" max="1282" width="19.85546875" style="3" customWidth="1"/>
    <col min="1283" max="1283" width="11.85546875" style="3" customWidth="1"/>
    <col min="1284" max="1300" width="9.140625" style="3" customWidth="1"/>
    <col min="1301" max="1536" width="9" style="3"/>
    <col min="1537" max="1537" width="5.140625" style="3" customWidth="1"/>
    <col min="1538" max="1538" width="19.85546875" style="3" customWidth="1"/>
    <col min="1539" max="1539" width="11.85546875" style="3" customWidth="1"/>
    <col min="1540" max="1556" width="9.140625" style="3" customWidth="1"/>
    <col min="1557" max="1792" width="9" style="3"/>
    <col min="1793" max="1793" width="5.140625" style="3" customWidth="1"/>
    <col min="1794" max="1794" width="19.85546875" style="3" customWidth="1"/>
    <col min="1795" max="1795" width="11.85546875" style="3" customWidth="1"/>
    <col min="1796" max="1812" width="9.140625" style="3" customWidth="1"/>
    <col min="1813" max="2048" width="9" style="3"/>
    <col min="2049" max="2049" width="5.140625" style="3" customWidth="1"/>
    <col min="2050" max="2050" width="19.85546875" style="3" customWidth="1"/>
    <col min="2051" max="2051" width="11.85546875" style="3" customWidth="1"/>
    <col min="2052" max="2068" width="9.140625" style="3" customWidth="1"/>
    <col min="2069" max="2304" width="9" style="3"/>
    <col min="2305" max="2305" width="5.140625" style="3" customWidth="1"/>
    <col min="2306" max="2306" width="19.85546875" style="3" customWidth="1"/>
    <col min="2307" max="2307" width="11.85546875" style="3" customWidth="1"/>
    <col min="2308" max="2324" width="9.140625" style="3" customWidth="1"/>
    <col min="2325" max="2560" width="9" style="3"/>
    <col min="2561" max="2561" width="5.140625" style="3" customWidth="1"/>
    <col min="2562" max="2562" width="19.85546875" style="3" customWidth="1"/>
    <col min="2563" max="2563" width="11.85546875" style="3" customWidth="1"/>
    <col min="2564" max="2580" width="9.140625" style="3" customWidth="1"/>
    <col min="2581" max="2816" width="9" style="3"/>
    <col min="2817" max="2817" width="5.140625" style="3" customWidth="1"/>
    <col min="2818" max="2818" width="19.85546875" style="3" customWidth="1"/>
    <col min="2819" max="2819" width="11.85546875" style="3" customWidth="1"/>
    <col min="2820" max="2836" width="9.140625" style="3" customWidth="1"/>
    <col min="2837" max="3072" width="9" style="3"/>
    <col min="3073" max="3073" width="5.140625" style="3" customWidth="1"/>
    <col min="3074" max="3074" width="19.85546875" style="3" customWidth="1"/>
    <col min="3075" max="3075" width="11.85546875" style="3" customWidth="1"/>
    <col min="3076" max="3092" width="9.140625" style="3" customWidth="1"/>
    <col min="3093" max="3328" width="9" style="3"/>
    <col min="3329" max="3329" width="5.140625" style="3" customWidth="1"/>
    <col min="3330" max="3330" width="19.85546875" style="3" customWidth="1"/>
    <col min="3331" max="3331" width="11.85546875" style="3" customWidth="1"/>
    <col min="3332" max="3348" width="9.140625" style="3" customWidth="1"/>
    <col min="3349" max="3584" width="9" style="3"/>
    <col min="3585" max="3585" width="5.140625" style="3" customWidth="1"/>
    <col min="3586" max="3586" width="19.85546875" style="3" customWidth="1"/>
    <col min="3587" max="3587" width="11.85546875" style="3" customWidth="1"/>
    <col min="3588" max="3604" width="9.140625" style="3" customWidth="1"/>
    <col min="3605" max="3840" width="9" style="3"/>
    <col min="3841" max="3841" width="5.140625" style="3" customWidth="1"/>
    <col min="3842" max="3842" width="19.85546875" style="3" customWidth="1"/>
    <col min="3843" max="3843" width="11.85546875" style="3" customWidth="1"/>
    <col min="3844" max="3860" width="9.140625" style="3" customWidth="1"/>
    <col min="3861" max="4096" width="9" style="3"/>
    <col min="4097" max="4097" width="5.140625" style="3" customWidth="1"/>
    <col min="4098" max="4098" width="19.85546875" style="3" customWidth="1"/>
    <col min="4099" max="4099" width="11.85546875" style="3" customWidth="1"/>
    <col min="4100" max="4116" width="9.140625" style="3" customWidth="1"/>
    <col min="4117" max="4352" width="9" style="3"/>
    <col min="4353" max="4353" width="5.140625" style="3" customWidth="1"/>
    <col min="4354" max="4354" width="19.85546875" style="3" customWidth="1"/>
    <col min="4355" max="4355" width="11.85546875" style="3" customWidth="1"/>
    <col min="4356" max="4372" width="9.140625" style="3" customWidth="1"/>
    <col min="4373" max="4608" width="9" style="3"/>
    <col min="4609" max="4609" width="5.140625" style="3" customWidth="1"/>
    <col min="4610" max="4610" width="19.85546875" style="3" customWidth="1"/>
    <col min="4611" max="4611" width="11.85546875" style="3" customWidth="1"/>
    <col min="4612" max="4628" width="9.140625" style="3" customWidth="1"/>
    <col min="4629" max="4864" width="9" style="3"/>
    <col min="4865" max="4865" width="5.140625" style="3" customWidth="1"/>
    <col min="4866" max="4866" width="19.85546875" style="3" customWidth="1"/>
    <col min="4867" max="4867" width="11.85546875" style="3" customWidth="1"/>
    <col min="4868" max="4884" width="9.140625" style="3" customWidth="1"/>
    <col min="4885" max="5120" width="9" style="3"/>
    <col min="5121" max="5121" width="5.140625" style="3" customWidth="1"/>
    <col min="5122" max="5122" width="19.85546875" style="3" customWidth="1"/>
    <col min="5123" max="5123" width="11.85546875" style="3" customWidth="1"/>
    <col min="5124" max="5140" width="9.140625" style="3" customWidth="1"/>
    <col min="5141" max="5376" width="9" style="3"/>
    <col min="5377" max="5377" width="5.140625" style="3" customWidth="1"/>
    <col min="5378" max="5378" width="19.85546875" style="3" customWidth="1"/>
    <col min="5379" max="5379" width="11.85546875" style="3" customWidth="1"/>
    <col min="5380" max="5396" width="9.140625" style="3" customWidth="1"/>
    <col min="5397" max="5632" width="9" style="3"/>
    <col min="5633" max="5633" width="5.140625" style="3" customWidth="1"/>
    <col min="5634" max="5634" width="19.85546875" style="3" customWidth="1"/>
    <col min="5635" max="5635" width="11.85546875" style="3" customWidth="1"/>
    <col min="5636" max="5652" width="9.140625" style="3" customWidth="1"/>
    <col min="5653" max="5888" width="9" style="3"/>
    <col min="5889" max="5889" width="5.140625" style="3" customWidth="1"/>
    <col min="5890" max="5890" width="19.85546875" style="3" customWidth="1"/>
    <col min="5891" max="5891" width="11.85546875" style="3" customWidth="1"/>
    <col min="5892" max="5908" width="9.140625" style="3" customWidth="1"/>
    <col min="5909" max="6144" width="9" style="3"/>
    <col min="6145" max="6145" width="5.140625" style="3" customWidth="1"/>
    <col min="6146" max="6146" width="19.85546875" style="3" customWidth="1"/>
    <col min="6147" max="6147" width="11.85546875" style="3" customWidth="1"/>
    <col min="6148" max="6164" width="9.140625" style="3" customWidth="1"/>
    <col min="6165" max="6400" width="9" style="3"/>
    <col min="6401" max="6401" width="5.140625" style="3" customWidth="1"/>
    <col min="6402" max="6402" width="19.85546875" style="3" customWidth="1"/>
    <col min="6403" max="6403" width="11.85546875" style="3" customWidth="1"/>
    <col min="6404" max="6420" width="9.140625" style="3" customWidth="1"/>
    <col min="6421" max="6656" width="9" style="3"/>
    <col min="6657" max="6657" width="5.140625" style="3" customWidth="1"/>
    <col min="6658" max="6658" width="19.85546875" style="3" customWidth="1"/>
    <col min="6659" max="6659" width="11.85546875" style="3" customWidth="1"/>
    <col min="6660" max="6676" width="9.140625" style="3" customWidth="1"/>
    <col min="6677" max="6912" width="9" style="3"/>
    <col min="6913" max="6913" width="5.140625" style="3" customWidth="1"/>
    <col min="6914" max="6914" width="19.85546875" style="3" customWidth="1"/>
    <col min="6915" max="6915" width="11.85546875" style="3" customWidth="1"/>
    <col min="6916" max="6932" width="9.140625" style="3" customWidth="1"/>
    <col min="6933" max="7168" width="9" style="3"/>
    <col min="7169" max="7169" width="5.140625" style="3" customWidth="1"/>
    <col min="7170" max="7170" width="19.85546875" style="3" customWidth="1"/>
    <col min="7171" max="7171" width="11.85546875" style="3" customWidth="1"/>
    <col min="7172" max="7188" width="9.140625" style="3" customWidth="1"/>
    <col min="7189" max="7424" width="9" style="3"/>
    <col min="7425" max="7425" width="5.140625" style="3" customWidth="1"/>
    <col min="7426" max="7426" width="19.85546875" style="3" customWidth="1"/>
    <col min="7427" max="7427" width="11.85546875" style="3" customWidth="1"/>
    <col min="7428" max="7444" width="9.140625" style="3" customWidth="1"/>
    <col min="7445" max="7680" width="9" style="3"/>
    <col min="7681" max="7681" width="5.140625" style="3" customWidth="1"/>
    <col min="7682" max="7682" width="19.85546875" style="3" customWidth="1"/>
    <col min="7683" max="7683" width="11.85546875" style="3" customWidth="1"/>
    <col min="7684" max="7700" width="9.140625" style="3" customWidth="1"/>
    <col min="7701" max="7936" width="9" style="3"/>
    <col min="7937" max="7937" width="5.140625" style="3" customWidth="1"/>
    <col min="7938" max="7938" width="19.85546875" style="3" customWidth="1"/>
    <col min="7939" max="7939" width="11.85546875" style="3" customWidth="1"/>
    <col min="7940" max="7956" width="9.140625" style="3" customWidth="1"/>
    <col min="7957" max="8192" width="9" style="3"/>
    <col min="8193" max="8193" width="5.140625" style="3" customWidth="1"/>
    <col min="8194" max="8194" width="19.85546875" style="3" customWidth="1"/>
    <col min="8195" max="8195" width="11.85546875" style="3" customWidth="1"/>
    <col min="8196" max="8212" width="9.140625" style="3" customWidth="1"/>
    <col min="8213" max="8448" width="9" style="3"/>
    <col min="8449" max="8449" width="5.140625" style="3" customWidth="1"/>
    <col min="8450" max="8450" width="19.85546875" style="3" customWidth="1"/>
    <col min="8451" max="8451" width="11.85546875" style="3" customWidth="1"/>
    <col min="8452" max="8468" width="9.140625" style="3" customWidth="1"/>
    <col min="8469" max="8704" width="9" style="3"/>
    <col min="8705" max="8705" width="5.140625" style="3" customWidth="1"/>
    <col min="8706" max="8706" width="19.85546875" style="3" customWidth="1"/>
    <col min="8707" max="8707" width="11.85546875" style="3" customWidth="1"/>
    <col min="8708" max="8724" width="9.140625" style="3" customWidth="1"/>
    <col min="8725" max="8960" width="9" style="3"/>
    <col min="8961" max="8961" width="5.140625" style="3" customWidth="1"/>
    <col min="8962" max="8962" width="19.85546875" style="3" customWidth="1"/>
    <col min="8963" max="8963" width="11.85546875" style="3" customWidth="1"/>
    <col min="8964" max="8980" width="9.140625" style="3" customWidth="1"/>
    <col min="8981" max="9216" width="9" style="3"/>
    <col min="9217" max="9217" width="5.140625" style="3" customWidth="1"/>
    <col min="9218" max="9218" width="19.85546875" style="3" customWidth="1"/>
    <col min="9219" max="9219" width="11.85546875" style="3" customWidth="1"/>
    <col min="9220" max="9236" width="9.140625" style="3" customWidth="1"/>
    <col min="9237" max="9472" width="9" style="3"/>
    <col min="9473" max="9473" width="5.140625" style="3" customWidth="1"/>
    <col min="9474" max="9474" width="19.85546875" style="3" customWidth="1"/>
    <col min="9475" max="9475" width="11.85546875" style="3" customWidth="1"/>
    <col min="9476" max="9492" width="9.140625" style="3" customWidth="1"/>
    <col min="9493" max="9728" width="9" style="3"/>
    <col min="9729" max="9729" width="5.140625" style="3" customWidth="1"/>
    <col min="9730" max="9730" width="19.85546875" style="3" customWidth="1"/>
    <col min="9731" max="9731" width="11.85546875" style="3" customWidth="1"/>
    <col min="9732" max="9748" width="9.140625" style="3" customWidth="1"/>
    <col min="9749" max="9984" width="9" style="3"/>
    <col min="9985" max="9985" width="5.140625" style="3" customWidth="1"/>
    <col min="9986" max="9986" width="19.85546875" style="3" customWidth="1"/>
    <col min="9987" max="9987" width="11.85546875" style="3" customWidth="1"/>
    <col min="9988" max="10004" width="9.140625" style="3" customWidth="1"/>
    <col min="10005" max="10240" width="9" style="3"/>
    <col min="10241" max="10241" width="5.140625" style="3" customWidth="1"/>
    <col min="10242" max="10242" width="19.85546875" style="3" customWidth="1"/>
    <col min="10243" max="10243" width="11.85546875" style="3" customWidth="1"/>
    <col min="10244" max="10260" width="9.140625" style="3" customWidth="1"/>
    <col min="10261" max="10496" width="9" style="3"/>
    <col min="10497" max="10497" width="5.140625" style="3" customWidth="1"/>
    <col min="10498" max="10498" width="19.85546875" style="3" customWidth="1"/>
    <col min="10499" max="10499" width="11.85546875" style="3" customWidth="1"/>
    <col min="10500" max="10516" width="9.140625" style="3" customWidth="1"/>
    <col min="10517" max="10752" width="9" style="3"/>
    <col min="10753" max="10753" width="5.140625" style="3" customWidth="1"/>
    <col min="10754" max="10754" width="19.85546875" style="3" customWidth="1"/>
    <col min="10755" max="10755" width="11.85546875" style="3" customWidth="1"/>
    <col min="10756" max="10772" width="9.140625" style="3" customWidth="1"/>
    <col min="10773" max="11008" width="9" style="3"/>
    <col min="11009" max="11009" width="5.140625" style="3" customWidth="1"/>
    <col min="11010" max="11010" width="19.85546875" style="3" customWidth="1"/>
    <col min="11011" max="11011" width="11.85546875" style="3" customWidth="1"/>
    <col min="11012" max="11028" width="9.140625" style="3" customWidth="1"/>
    <col min="11029" max="11264" width="9" style="3"/>
    <col min="11265" max="11265" width="5.140625" style="3" customWidth="1"/>
    <col min="11266" max="11266" width="19.85546875" style="3" customWidth="1"/>
    <col min="11267" max="11267" width="11.85546875" style="3" customWidth="1"/>
    <col min="11268" max="11284" width="9.140625" style="3" customWidth="1"/>
    <col min="11285" max="11520" width="9" style="3"/>
    <col min="11521" max="11521" width="5.140625" style="3" customWidth="1"/>
    <col min="11522" max="11522" width="19.85546875" style="3" customWidth="1"/>
    <col min="11523" max="11523" width="11.85546875" style="3" customWidth="1"/>
    <col min="11524" max="11540" width="9.140625" style="3" customWidth="1"/>
    <col min="11541" max="11776" width="9" style="3"/>
    <col min="11777" max="11777" width="5.140625" style="3" customWidth="1"/>
    <col min="11778" max="11778" width="19.85546875" style="3" customWidth="1"/>
    <col min="11779" max="11779" width="11.85546875" style="3" customWidth="1"/>
    <col min="11780" max="11796" width="9.140625" style="3" customWidth="1"/>
    <col min="11797" max="12032" width="9" style="3"/>
    <col min="12033" max="12033" width="5.140625" style="3" customWidth="1"/>
    <col min="12034" max="12034" width="19.85546875" style="3" customWidth="1"/>
    <col min="12035" max="12035" width="11.85546875" style="3" customWidth="1"/>
    <col min="12036" max="12052" width="9.140625" style="3" customWidth="1"/>
    <col min="12053" max="12288" width="9" style="3"/>
    <col min="12289" max="12289" width="5.140625" style="3" customWidth="1"/>
    <col min="12290" max="12290" width="19.85546875" style="3" customWidth="1"/>
    <col min="12291" max="12291" width="11.85546875" style="3" customWidth="1"/>
    <col min="12292" max="12308" width="9.140625" style="3" customWidth="1"/>
    <col min="12309" max="12544" width="9" style="3"/>
    <col min="12545" max="12545" width="5.140625" style="3" customWidth="1"/>
    <col min="12546" max="12546" width="19.85546875" style="3" customWidth="1"/>
    <col min="12547" max="12547" width="11.85546875" style="3" customWidth="1"/>
    <col min="12548" max="12564" width="9.140625" style="3" customWidth="1"/>
    <col min="12565" max="12800" width="9" style="3"/>
    <col min="12801" max="12801" width="5.140625" style="3" customWidth="1"/>
    <col min="12802" max="12802" width="19.85546875" style="3" customWidth="1"/>
    <col min="12803" max="12803" width="11.85546875" style="3" customWidth="1"/>
    <col min="12804" max="12820" width="9.140625" style="3" customWidth="1"/>
    <col min="12821" max="13056" width="9" style="3"/>
    <col min="13057" max="13057" width="5.140625" style="3" customWidth="1"/>
    <col min="13058" max="13058" width="19.85546875" style="3" customWidth="1"/>
    <col min="13059" max="13059" width="11.85546875" style="3" customWidth="1"/>
    <col min="13060" max="13076" width="9.140625" style="3" customWidth="1"/>
    <col min="13077" max="13312" width="9" style="3"/>
    <col min="13313" max="13313" width="5.140625" style="3" customWidth="1"/>
    <col min="13314" max="13314" width="19.85546875" style="3" customWidth="1"/>
    <col min="13315" max="13315" width="11.85546875" style="3" customWidth="1"/>
    <col min="13316" max="13332" width="9.140625" style="3" customWidth="1"/>
    <col min="13333" max="13568" width="9" style="3"/>
    <col min="13569" max="13569" width="5.140625" style="3" customWidth="1"/>
    <col min="13570" max="13570" width="19.85546875" style="3" customWidth="1"/>
    <col min="13571" max="13571" width="11.85546875" style="3" customWidth="1"/>
    <col min="13572" max="13588" width="9.140625" style="3" customWidth="1"/>
    <col min="13589" max="13824" width="9" style="3"/>
    <col min="13825" max="13825" width="5.140625" style="3" customWidth="1"/>
    <col min="13826" max="13826" width="19.85546875" style="3" customWidth="1"/>
    <col min="13827" max="13827" width="11.85546875" style="3" customWidth="1"/>
    <col min="13828" max="13844" width="9.140625" style="3" customWidth="1"/>
    <col min="13845" max="14080" width="9" style="3"/>
    <col min="14081" max="14081" width="5.140625" style="3" customWidth="1"/>
    <col min="14082" max="14082" width="19.85546875" style="3" customWidth="1"/>
    <col min="14083" max="14083" width="11.85546875" style="3" customWidth="1"/>
    <col min="14084" max="14100" width="9.140625" style="3" customWidth="1"/>
    <col min="14101" max="14336" width="9" style="3"/>
    <col min="14337" max="14337" width="5.140625" style="3" customWidth="1"/>
    <col min="14338" max="14338" width="19.85546875" style="3" customWidth="1"/>
    <col min="14339" max="14339" width="11.85546875" style="3" customWidth="1"/>
    <col min="14340" max="14356" width="9.140625" style="3" customWidth="1"/>
    <col min="14357" max="14592" width="9" style="3"/>
    <col min="14593" max="14593" width="5.140625" style="3" customWidth="1"/>
    <col min="14594" max="14594" width="19.85546875" style="3" customWidth="1"/>
    <col min="14595" max="14595" width="11.85546875" style="3" customWidth="1"/>
    <col min="14596" max="14612" width="9.140625" style="3" customWidth="1"/>
    <col min="14613" max="14848" width="9" style="3"/>
    <col min="14849" max="14849" width="5.140625" style="3" customWidth="1"/>
    <col min="14850" max="14850" width="19.85546875" style="3" customWidth="1"/>
    <col min="14851" max="14851" width="11.85546875" style="3" customWidth="1"/>
    <col min="14852" max="14868" width="9.140625" style="3" customWidth="1"/>
    <col min="14869" max="15104" width="9" style="3"/>
    <col min="15105" max="15105" width="5.140625" style="3" customWidth="1"/>
    <col min="15106" max="15106" width="19.85546875" style="3" customWidth="1"/>
    <col min="15107" max="15107" width="11.85546875" style="3" customWidth="1"/>
    <col min="15108" max="15124" width="9.140625" style="3" customWidth="1"/>
    <col min="15125" max="15360" width="9" style="3"/>
    <col min="15361" max="15361" width="5.140625" style="3" customWidth="1"/>
    <col min="15362" max="15362" width="19.85546875" style="3" customWidth="1"/>
    <col min="15363" max="15363" width="11.85546875" style="3" customWidth="1"/>
    <col min="15364" max="15380" width="9.140625" style="3" customWidth="1"/>
    <col min="15381" max="15616" width="9" style="3"/>
    <col min="15617" max="15617" width="5.140625" style="3" customWidth="1"/>
    <col min="15618" max="15618" width="19.85546875" style="3" customWidth="1"/>
    <col min="15619" max="15619" width="11.85546875" style="3" customWidth="1"/>
    <col min="15620" max="15636" width="9.140625" style="3" customWidth="1"/>
    <col min="15637" max="15872" width="9" style="3"/>
    <col min="15873" max="15873" width="5.140625" style="3" customWidth="1"/>
    <col min="15874" max="15874" width="19.85546875" style="3" customWidth="1"/>
    <col min="15875" max="15875" width="11.85546875" style="3" customWidth="1"/>
    <col min="15876" max="15892" width="9.140625" style="3" customWidth="1"/>
    <col min="15893" max="16128" width="9" style="3"/>
    <col min="16129" max="16129" width="5.140625" style="3" customWidth="1"/>
    <col min="16130" max="16130" width="19.85546875" style="3" customWidth="1"/>
    <col min="16131" max="16131" width="11.85546875" style="3" customWidth="1"/>
    <col min="16132" max="16148" width="9.140625" style="3" customWidth="1"/>
    <col min="16149" max="16384" width="9" style="3"/>
  </cols>
  <sheetData>
    <row r="1" spans="1:22" ht="34.5" thickBot="1" x14ac:dyDescent="0.3">
      <c r="A1" s="170" t="s">
        <v>69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2"/>
      <c r="U1" s="1"/>
      <c r="V1" s="1"/>
    </row>
    <row r="2" spans="1:22" ht="182.25" customHeight="1" thickBot="1" x14ac:dyDescent="0.3">
      <c r="A2" s="4" t="s">
        <v>0</v>
      </c>
      <c r="B2" s="5" t="s">
        <v>1</v>
      </c>
      <c r="C2" s="6" t="s">
        <v>2</v>
      </c>
      <c r="D2" s="7" t="s">
        <v>70</v>
      </c>
      <c r="E2" s="8" t="s">
        <v>71</v>
      </c>
      <c r="F2" s="7" t="s">
        <v>80</v>
      </c>
      <c r="G2" s="7" t="s">
        <v>81</v>
      </c>
      <c r="H2" s="7" t="s">
        <v>96</v>
      </c>
      <c r="I2" s="7" t="s">
        <v>95</v>
      </c>
      <c r="J2" s="8" t="s">
        <v>116</v>
      </c>
      <c r="K2" s="8" t="s">
        <v>117</v>
      </c>
      <c r="L2" s="8"/>
      <c r="M2" s="8"/>
      <c r="N2" s="8"/>
      <c r="O2" s="8"/>
      <c r="P2" s="8"/>
      <c r="Q2" s="8"/>
      <c r="R2" s="7"/>
      <c r="S2" s="7"/>
      <c r="T2" s="9" t="s">
        <v>3</v>
      </c>
      <c r="U2" s="10"/>
      <c r="V2" s="10"/>
    </row>
    <row r="3" spans="1:22" x14ac:dyDescent="0.25">
      <c r="A3" s="13" t="s">
        <v>4</v>
      </c>
      <c r="B3" s="14" t="s">
        <v>65</v>
      </c>
      <c r="C3" s="15" t="s">
        <v>66</v>
      </c>
      <c r="D3" s="17"/>
      <c r="E3" s="17">
        <f>100-(102.33-102.33)/102.33*50</f>
        <v>100</v>
      </c>
      <c r="F3" s="17">
        <f>100-(40.65-40.65)/40.65*50</f>
        <v>100</v>
      </c>
      <c r="G3" s="25">
        <f>100-(118.37-97.93)/97.93*50</f>
        <v>89.563974267333805</v>
      </c>
      <c r="H3" s="105" t="s">
        <v>12</v>
      </c>
      <c r="I3" s="17">
        <f>100-(70.43-40.65)/40.65*50</f>
        <v>63.370233702337018</v>
      </c>
      <c r="J3" s="25">
        <f>100-(35.02-26.58)/26.58*50</f>
        <v>84.123401053423621</v>
      </c>
      <c r="K3" s="105" t="s">
        <v>12</v>
      </c>
      <c r="L3" s="17"/>
      <c r="M3" s="17"/>
      <c r="N3" s="143"/>
      <c r="O3" s="17"/>
      <c r="P3" s="17"/>
      <c r="Q3" s="17"/>
      <c r="R3" s="17"/>
      <c r="S3" s="17"/>
      <c r="T3" s="20">
        <f>SUM(D3:S3)</f>
        <v>437.05760902309447</v>
      </c>
    </row>
    <row r="4" spans="1:22" x14ac:dyDescent="0.25">
      <c r="A4" s="22" t="s">
        <v>6</v>
      </c>
      <c r="B4" s="138" t="s">
        <v>135</v>
      </c>
      <c r="C4" s="32" t="s">
        <v>39</v>
      </c>
      <c r="D4" s="25"/>
      <c r="E4" s="25"/>
      <c r="F4" s="75"/>
      <c r="G4" s="58"/>
      <c r="H4" s="58"/>
      <c r="I4" s="58"/>
      <c r="J4" s="25">
        <f>100-(26.58-26.58)/26.58*50</f>
        <v>100</v>
      </c>
      <c r="K4" s="25">
        <f>100-(49.48-49.48)/49.48*50</f>
        <v>100</v>
      </c>
      <c r="L4" s="18"/>
      <c r="M4" s="18"/>
      <c r="N4" s="18"/>
      <c r="O4" s="18"/>
      <c r="P4" s="18"/>
      <c r="Q4" s="25"/>
      <c r="R4" s="21"/>
      <c r="S4" s="18"/>
      <c r="T4" s="26">
        <f>SUM(D4:S4)</f>
        <v>200</v>
      </c>
    </row>
    <row r="5" spans="1:22" x14ac:dyDescent="0.25">
      <c r="A5" s="22" t="s">
        <v>8</v>
      </c>
      <c r="B5" s="23" t="s">
        <v>136</v>
      </c>
      <c r="C5" s="24" t="s">
        <v>48</v>
      </c>
      <c r="D5" s="58"/>
      <c r="E5" s="58"/>
      <c r="F5" s="75"/>
      <c r="G5" s="58"/>
      <c r="H5" s="58"/>
      <c r="I5" s="21"/>
      <c r="J5" s="18">
        <f>100-(28.57-26.58)/26.58*50</f>
        <v>96.256583897667412</v>
      </c>
      <c r="K5" s="25">
        <f>100-(51.4-49.48)/49.48*50</f>
        <v>98.059822150363786</v>
      </c>
      <c r="L5" s="25"/>
      <c r="M5" s="58"/>
      <c r="N5" s="21"/>
      <c r="O5" s="58"/>
      <c r="P5" s="58"/>
      <c r="Q5" s="58"/>
      <c r="R5" s="18"/>
      <c r="S5" s="18"/>
      <c r="T5" s="26">
        <f>SUM(D5:S5)</f>
        <v>194.31640604803118</v>
      </c>
    </row>
    <row r="6" spans="1:22" x14ac:dyDescent="0.25">
      <c r="A6" s="22" t="s">
        <v>11</v>
      </c>
      <c r="B6" s="23" t="s">
        <v>67</v>
      </c>
      <c r="C6" s="24" t="s">
        <v>7</v>
      </c>
      <c r="D6" s="58"/>
      <c r="E6" s="18">
        <f>100-(162.55-102.33)/102.33*50</f>
        <v>70.57558878139352</v>
      </c>
      <c r="F6" s="25"/>
      <c r="G6" s="25"/>
      <c r="H6" s="18">
        <f>100-(70.27-70.27)/70.27*50</f>
        <v>100</v>
      </c>
      <c r="I6" s="21"/>
      <c r="J6" s="25">
        <f>100-(67.13-26.58)/26.58*50</f>
        <v>23.720842738901425</v>
      </c>
      <c r="K6" s="105" t="s">
        <v>12</v>
      </c>
      <c r="L6" s="18"/>
      <c r="M6" s="21"/>
      <c r="N6" s="18"/>
      <c r="O6" s="18"/>
      <c r="P6" s="18"/>
      <c r="Q6" s="18"/>
      <c r="R6" s="21"/>
      <c r="S6" s="83"/>
      <c r="T6" s="26">
        <f>SUM(D6:S6)</f>
        <v>194.29643152029496</v>
      </c>
    </row>
    <row r="7" spans="1:22" x14ac:dyDescent="0.25">
      <c r="A7" s="22" t="s">
        <v>13</v>
      </c>
      <c r="B7" s="23" t="s">
        <v>88</v>
      </c>
      <c r="C7" s="24" t="s">
        <v>61</v>
      </c>
      <c r="D7" s="36"/>
      <c r="E7" s="18"/>
      <c r="F7" s="25"/>
      <c r="G7" s="25">
        <f>100-(97.93-97.93)/97.93*50</f>
        <v>100</v>
      </c>
      <c r="H7" s="21"/>
      <c r="I7" s="21"/>
      <c r="J7" s="25"/>
      <c r="K7" s="25"/>
      <c r="L7" s="18"/>
      <c r="M7" s="18"/>
      <c r="N7" s="21"/>
      <c r="O7" s="21"/>
      <c r="P7" s="21"/>
      <c r="Q7" s="21"/>
      <c r="R7" s="18"/>
      <c r="S7" s="29"/>
      <c r="T7" s="26">
        <f>SUM(D7:S7)</f>
        <v>100</v>
      </c>
    </row>
    <row r="8" spans="1:22" ht="15.75" thickBot="1" x14ac:dyDescent="0.3">
      <c r="A8" s="39" t="s">
        <v>15</v>
      </c>
      <c r="B8" s="40"/>
      <c r="C8" s="41"/>
      <c r="D8" s="42"/>
      <c r="E8" s="46"/>
      <c r="F8" s="43"/>
      <c r="G8" s="43"/>
      <c r="H8" s="63"/>
      <c r="I8" s="63"/>
      <c r="J8" s="45"/>
      <c r="K8" s="43"/>
      <c r="L8" s="43"/>
      <c r="M8" s="43"/>
      <c r="N8" s="43"/>
      <c r="O8" s="43"/>
      <c r="P8" s="43"/>
      <c r="Q8" s="43"/>
      <c r="R8" s="63"/>
      <c r="S8" s="63"/>
      <c r="T8" s="48">
        <f t="shared" ref="T8" si="0">SUM(D8:S8)</f>
        <v>0</v>
      </c>
    </row>
    <row r="9" spans="1:22" x14ac:dyDescent="0.25">
      <c r="A9" s="2"/>
      <c r="B9" s="2"/>
      <c r="C9" s="2"/>
      <c r="D9" s="2"/>
      <c r="E9" s="2"/>
      <c r="F9" s="53"/>
      <c r="G9" s="2"/>
      <c r="H9" s="2"/>
      <c r="I9" s="2"/>
      <c r="J9" s="2"/>
      <c r="K9" s="2"/>
      <c r="L9" s="2"/>
      <c r="M9" s="85"/>
      <c r="N9" s="2"/>
      <c r="O9" s="2"/>
      <c r="P9" s="2"/>
      <c r="Q9" s="2"/>
      <c r="R9" s="2"/>
      <c r="S9" s="2"/>
      <c r="T9" s="52"/>
    </row>
    <row r="10" spans="1:22" x14ac:dyDescent="0.25">
      <c r="A10" s="2"/>
      <c r="B10" s="2"/>
      <c r="C10" s="2"/>
      <c r="D10" s="2"/>
      <c r="E10" s="2"/>
      <c r="F10" s="53"/>
      <c r="G10" s="2"/>
      <c r="H10" s="2"/>
      <c r="I10" s="2"/>
      <c r="J10" s="2"/>
      <c r="K10" s="2"/>
      <c r="L10" s="2"/>
      <c r="M10" s="2"/>
      <c r="N10" s="49"/>
      <c r="O10" s="49"/>
      <c r="P10" s="49"/>
      <c r="Q10" s="49"/>
      <c r="R10" s="2"/>
      <c r="S10" s="2"/>
      <c r="T10" s="52"/>
    </row>
    <row r="11" spans="1:22" x14ac:dyDescent="0.25">
      <c r="A11" s="2"/>
      <c r="B11" s="2"/>
      <c r="C11" s="2"/>
      <c r="D11" s="2"/>
      <c r="E11" s="2"/>
      <c r="F11" s="53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2" s="54" customFormat="1" x14ac:dyDescent="0.25">
      <c r="A12" s="54" t="s">
        <v>36</v>
      </c>
    </row>
    <row r="13" spans="1:22" s="55" customFormat="1" x14ac:dyDescent="0.25">
      <c r="A13" s="55" t="s">
        <v>37</v>
      </c>
    </row>
  </sheetData>
  <sortState ref="B3:T7">
    <sortCondition descending="1" ref="T3"/>
  </sortState>
  <mergeCells count="1">
    <mergeCell ref="A1:T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workbookViewId="0">
      <selection activeCell="I15" sqref="I15"/>
    </sheetView>
  </sheetViews>
  <sheetFormatPr defaultColWidth="9" defaultRowHeight="15" x14ac:dyDescent="0.25"/>
  <cols>
    <col min="1" max="1" width="5" style="3" customWidth="1"/>
    <col min="2" max="2" width="16.85546875" style="3" customWidth="1"/>
    <col min="3" max="3" width="17" style="3" customWidth="1"/>
    <col min="4" max="20" width="9.140625" style="3" customWidth="1"/>
    <col min="21" max="23" width="9" style="2"/>
    <col min="24" max="256" width="9" style="3"/>
    <col min="257" max="257" width="5" style="3" customWidth="1"/>
    <col min="258" max="258" width="20.7109375" style="3" customWidth="1"/>
    <col min="259" max="259" width="19.140625" style="3" customWidth="1"/>
    <col min="260" max="276" width="9.140625" style="3" customWidth="1"/>
    <col min="277" max="512" width="9" style="3"/>
    <col min="513" max="513" width="5" style="3" customWidth="1"/>
    <col min="514" max="514" width="20.7109375" style="3" customWidth="1"/>
    <col min="515" max="515" width="19.140625" style="3" customWidth="1"/>
    <col min="516" max="532" width="9.140625" style="3" customWidth="1"/>
    <col min="533" max="768" width="9" style="3"/>
    <col min="769" max="769" width="5" style="3" customWidth="1"/>
    <col min="770" max="770" width="20.7109375" style="3" customWidth="1"/>
    <col min="771" max="771" width="19.140625" style="3" customWidth="1"/>
    <col min="772" max="788" width="9.140625" style="3" customWidth="1"/>
    <col min="789" max="1024" width="9" style="3"/>
    <col min="1025" max="1025" width="5" style="3" customWidth="1"/>
    <col min="1026" max="1026" width="20.7109375" style="3" customWidth="1"/>
    <col min="1027" max="1027" width="19.140625" style="3" customWidth="1"/>
    <col min="1028" max="1044" width="9.140625" style="3" customWidth="1"/>
    <col min="1045" max="1280" width="9" style="3"/>
    <col min="1281" max="1281" width="5" style="3" customWidth="1"/>
    <col min="1282" max="1282" width="20.7109375" style="3" customWidth="1"/>
    <col min="1283" max="1283" width="19.140625" style="3" customWidth="1"/>
    <col min="1284" max="1300" width="9.140625" style="3" customWidth="1"/>
    <col min="1301" max="1536" width="9" style="3"/>
    <col min="1537" max="1537" width="5" style="3" customWidth="1"/>
    <col min="1538" max="1538" width="20.7109375" style="3" customWidth="1"/>
    <col min="1539" max="1539" width="19.140625" style="3" customWidth="1"/>
    <col min="1540" max="1556" width="9.140625" style="3" customWidth="1"/>
    <col min="1557" max="1792" width="9" style="3"/>
    <col min="1793" max="1793" width="5" style="3" customWidth="1"/>
    <col min="1794" max="1794" width="20.7109375" style="3" customWidth="1"/>
    <col min="1795" max="1795" width="19.140625" style="3" customWidth="1"/>
    <col min="1796" max="1812" width="9.140625" style="3" customWidth="1"/>
    <col min="1813" max="2048" width="9" style="3"/>
    <col min="2049" max="2049" width="5" style="3" customWidth="1"/>
    <col min="2050" max="2050" width="20.7109375" style="3" customWidth="1"/>
    <col min="2051" max="2051" width="19.140625" style="3" customWidth="1"/>
    <col min="2052" max="2068" width="9.140625" style="3" customWidth="1"/>
    <col min="2069" max="2304" width="9" style="3"/>
    <col min="2305" max="2305" width="5" style="3" customWidth="1"/>
    <col min="2306" max="2306" width="20.7109375" style="3" customWidth="1"/>
    <col min="2307" max="2307" width="19.140625" style="3" customWidth="1"/>
    <col min="2308" max="2324" width="9.140625" style="3" customWidth="1"/>
    <col min="2325" max="2560" width="9" style="3"/>
    <col min="2561" max="2561" width="5" style="3" customWidth="1"/>
    <col min="2562" max="2562" width="20.7109375" style="3" customWidth="1"/>
    <col min="2563" max="2563" width="19.140625" style="3" customWidth="1"/>
    <col min="2564" max="2580" width="9.140625" style="3" customWidth="1"/>
    <col min="2581" max="2816" width="9" style="3"/>
    <col min="2817" max="2817" width="5" style="3" customWidth="1"/>
    <col min="2818" max="2818" width="20.7109375" style="3" customWidth="1"/>
    <col min="2819" max="2819" width="19.140625" style="3" customWidth="1"/>
    <col min="2820" max="2836" width="9.140625" style="3" customWidth="1"/>
    <col min="2837" max="3072" width="9" style="3"/>
    <col min="3073" max="3073" width="5" style="3" customWidth="1"/>
    <col min="3074" max="3074" width="20.7109375" style="3" customWidth="1"/>
    <col min="3075" max="3075" width="19.140625" style="3" customWidth="1"/>
    <col min="3076" max="3092" width="9.140625" style="3" customWidth="1"/>
    <col min="3093" max="3328" width="9" style="3"/>
    <col min="3329" max="3329" width="5" style="3" customWidth="1"/>
    <col min="3330" max="3330" width="20.7109375" style="3" customWidth="1"/>
    <col min="3331" max="3331" width="19.140625" style="3" customWidth="1"/>
    <col min="3332" max="3348" width="9.140625" style="3" customWidth="1"/>
    <col min="3349" max="3584" width="9" style="3"/>
    <col min="3585" max="3585" width="5" style="3" customWidth="1"/>
    <col min="3586" max="3586" width="20.7109375" style="3" customWidth="1"/>
    <col min="3587" max="3587" width="19.140625" style="3" customWidth="1"/>
    <col min="3588" max="3604" width="9.140625" style="3" customWidth="1"/>
    <col min="3605" max="3840" width="9" style="3"/>
    <col min="3841" max="3841" width="5" style="3" customWidth="1"/>
    <col min="3842" max="3842" width="20.7109375" style="3" customWidth="1"/>
    <col min="3843" max="3843" width="19.140625" style="3" customWidth="1"/>
    <col min="3844" max="3860" width="9.140625" style="3" customWidth="1"/>
    <col min="3861" max="4096" width="9" style="3"/>
    <col min="4097" max="4097" width="5" style="3" customWidth="1"/>
    <col min="4098" max="4098" width="20.7109375" style="3" customWidth="1"/>
    <col min="4099" max="4099" width="19.140625" style="3" customWidth="1"/>
    <col min="4100" max="4116" width="9.140625" style="3" customWidth="1"/>
    <col min="4117" max="4352" width="9" style="3"/>
    <col min="4353" max="4353" width="5" style="3" customWidth="1"/>
    <col min="4354" max="4354" width="20.7109375" style="3" customWidth="1"/>
    <col min="4355" max="4355" width="19.140625" style="3" customWidth="1"/>
    <col min="4356" max="4372" width="9.140625" style="3" customWidth="1"/>
    <col min="4373" max="4608" width="9" style="3"/>
    <col min="4609" max="4609" width="5" style="3" customWidth="1"/>
    <col min="4610" max="4610" width="20.7109375" style="3" customWidth="1"/>
    <col min="4611" max="4611" width="19.140625" style="3" customWidth="1"/>
    <col min="4612" max="4628" width="9.140625" style="3" customWidth="1"/>
    <col min="4629" max="4864" width="9" style="3"/>
    <col min="4865" max="4865" width="5" style="3" customWidth="1"/>
    <col min="4866" max="4866" width="20.7109375" style="3" customWidth="1"/>
    <col min="4867" max="4867" width="19.140625" style="3" customWidth="1"/>
    <col min="4868" max="4884" width="9.140625" style="3" customWidth="1"/>
    <col min="4885" max="5120" width="9" style="3"/>
    <col min="5121" max="5121" width="5" style="3" customWidth="1"/>
    <col min="5122" max="5122" width="20.7109375" style="3" customWidth="1"/>
    <col min="5123" max="5123" width="19.140625" style="3" customWidth="1"/>
    <col min="5124" max="5140" width="9.140625" style="3" customWidth="1"/>
    <col min="5141" max="5376" width="9" style="3"/>
    <col min="5377" max="5377" width="5" style="3" customWidth="1"/>
    <col min="5378" max="5378" width="20.7109375" style="3" customWidth="1"/>
    <col min="5379" max="5379" width="19.140625" style="3" customWidth="1"/>
    <col min="5380" max="5396" width="9.140625" style="3" customWidth="1"/>
    <col min="5397" max="5632" width="9" style="3"/>
    <col min="5633" max="5633" width="5" style="3" customWidth="1"/>
    <col min="5634" max="5634" width="20.7109375" style="3" customWidth="1"/>
    <col min="5635" max="5635" width="19.140625" style="3" customWidth="1"/>
    <col min="5636" max="5652" width="9.140625" style="3" customWidth="1"/>
    <col min="5653" max="5888" width="9" style="3"/>
    <col min="5889" max="5889" width="5" style="3" customWidth="1"/>
    <col min="5890" max="5890" width="20.7109375" style="3" customWidth="1"/>
    <col min="5891" max="5891" width="19.140625" style="3" customWidth="1"/>
    <col min="5892" max="5908" width="9.140625" style="3" customWidth="1"/>
    <col min="5909" max="6144" width="9" style="3"/>
    <col min="6145" max="6145" width="5" style="3" customWidth="1"/>
    <col min="6146" max="6146" width="20.7109375" style="3" customWidth="1"/>
    <col min="6147" max="6147" width="19.140625" style="3" customWidth="1"/>
    <col min="6148" max="6164" width="9.140625" style="3" customWidth="1"/>
    <col min="6165" max="6400" width="9" style="3"/>
    <col min="6401" max="6401" width="5" style="3" customWidth="1"/>
    <col min="6402" max="6402" width="20.7109375" style="3" customWidth="1"/>
    <col min="6403" max="6403" width="19.140625" style="3" customWidth="1"/>
    <col min="6404" max="6420" width="9.140625" style="3" customWidth="1"/>
    <col min="6421" max="6656" width="9" style="3"/>
    <col min="6657" max="6657" width="5" style="3" customWidth="1"/>
    <col min="6658" max="6658" width="20.7109375" style="3" customWidth="1"/>
    <col min="6659" max="6659" width="19.140625" style="3" customWidth="1"/>
    <col min="6660" max="6676" width="9.140625" style="3" customWidth="1"/>
    <col min="6677" max="6912" width="9" style="3"/>
    <col min="6913" max="6913" width="5" style="3" customWidth="1"/>
    <col min="6914" max="6914" width="20.7109375" style="3" customWidth="1"/>
    <col min="6915" max="6915" width="19.140625" style="3" customWidth="1"/>
    <col min="6916" max="6932" width="9.140625" style="3" customWidth="1"/>
    <col min="6933" max="7168" width="9" style="3"/>
    <col min="7169" max="7169" width="5" style="3" customWidth="1"/>
    <col min="7170" max="7170" width="20.7109375" style="3" customWidth="1"/>
    <col min="7171" max="7171" width="19.140625" style="3" customWidth="1"/>
    <col min="7172" max="7188" width="9.140625" style="3" customWidth="1"/>
    <col min="7189" max="7424" width="9" style="3"/>
    <col min="7425" max="7425" width="5" style="3" customWidth="1"/>
    <col min="7426" max="7426" width="20.7109375" style="3" customWidth="1"/>
    <col min="7427" max="7427" width="19.140625" style="3" customWidth="1"/>
    <col min="7428" max="7444" width="9.140625" style="3" customWidth="1"/>
    <col min="7445" max="7680" width="9" style="3"/>
    <col min="7681" max="7681" width="5" style="3" customWidth="1"/>
    <col min="7682" max="7682" width="20.7109375" style="3" customWidth="1"/>
    <col min="7683" max="7683" width="19.140625" style="3" customWidth="1"/>
    <col min="7684" max="7700" width="9.140625" style="3" customWidth="1"/>
    <col min="7701" max="7936" width="9" style="3"/>
    <col min="7937" max="7937" width="5" style="3" customWidth="1"/>
    <col min="7938" max="7938" width="20.7109375" style="3" customWidth="1"/>
    <col min="7939" max="7939" width="19.140625" style="3" customWidth="1"/>
    <col min="7940" max="7956" width="9.140625" style="3" customWidth="1"/>
    <col min="7957" max="8192" width="9" style="3"/>
    <col min="8193" max="8193" width="5" style="3" customWidth="1"/>
    <col min="8194" max="8194" width="20.7109375" style="3" customWidth="1"/>
    <col min="8195" max="8195" width="19.140625" style="3" customWidth="1"/>
    <col min="8196" max="8212" width="9.140625" style="3" customWidth="1"/>
    <col min="8213" max="8448" width="9" style="3"/>
    <col min="8449" max="8449" width="5" style="3" customWidth="1"/>
    <col min="8450" max="8450" width="20.7109375" style="3" customWidth="1"/>
    <col min="8451" max="8451" width="19.140625" style="3" customWidth="1"/>
    <col min="8452" max="8468" width="9.140625" style="3" customWidth="1"/>
    <col min="8469" max="8704" width="9" style="3"/>
    <col min="8705" max="8705" width="5" style="3" customWidth="1"/>
    <col min="8706" max="8706" width="20.7109375" style="3" customWidth="1"/>
    <col min="8707" max="8707" width="19.140625" style="3" customWidth="1"/>
    <col min="8708" max="8724" width="9.140625" style="3" customWidth="1"/>
    <col min="8725" max="8960" width="9" style="3"/>
    <col min="8961" max="8961" width="5" style="3" customWidth="1"/>
    <col min="8962" max="8962" width="20.7109375" style="3" customWidth="1"/>
    <col min="8963" max="8963" width="19.140625" style="3" customWidth="1"/>
    <col min="8964" max="8980" width="9.140625" style="3" customWidth="1"/>
    <col min="8981" max="9216" width="9" style="3"/>
    <col min="9217" max="9217" width="5" style="3" customWidth="1"/>
    <col min="9218" max="9218" width="20.7109375" style="3" customWidth="1"/>
    <col min="9219" max="9219" width="19.140625" style="3" customWidth="1"/>
    <col min="9220" max="9236" width="9.140625" style="3" customWidth="1"/>
    <col min="9237" max="9472" width="9" style="3"/>
    <col min="9473" max="9473" width="5" style="3" customWidth="1"/>
    <col min="9474" max="9474" width="20.7109375" style="3" customWidth="1"/>
    <col min="9475" max="9475" width="19.140625" style="3" customWidth="1"/>
    <col min="9476" max="9492" width="9.140625" style="3" customWidth="1"/>
    <col min="9493" max="9728" width="9" style="3"/>
    <col min="9729" max="9729" width="5" style="3" customWidth="1"/>
    <col min="9730" max="9730" width="20.7109375" style="3" customWidth="1"/>
    <col min="9731" max="9731" width="19.140625" style="3" customWidth="1"/>
    <col min="9732" max="9748" width="9.140625" style="3" customWidth="1"/>
    <col min="9749" max="9984" width="9" style="3"/>
    <col min="9985" max="9985" width="5" style="3" customWidth="1"/>
    <col min="9986" max="9986" width="20.7109375" style="3" customWidth="1"/>
    <col min="9987" max="9987" width="19.140625" style="3" customWidth="1"/>
    <col min="9988" max="10004" width="9.140625" style="3" customWidth="1"/>
    <col min="10005" max="10240" width="9" style="3"/>
    <col min="10241" max="10241" width="5" style="3" customWidth="1"/>
    <col min="10242" max="10242" width="20.7109375" style="3" customWidth="1"/>
    <col min="10243" max="10243" width="19.140625" style="3" customWidth="1"/>
    <col min="10244" max="10260" width="9.140625" style="3" customWidth="1"/>
    <col min="10261" max="10496" width="9" style="3"/>
    <col min="10497" max="10497" width="5" style="3" customWidth="1"/>
    <col min="10498" max="10498" width="20.7109375" style="3" customWidth="1"/>
    <col min="10499" max="10499" width="19.140625" style="3" customWidth="1"/>
    <col min="10500" max="10516" width="9.140625" style="3" customWidth="1"/>
    <col min="10517" max="10752" width="9" style="3"/>
    <col min="10753" max="10753" width="5" style="3" customWidth="1"/>
    <col min="10754" max="10754" width="20.7109375" style="3" customWidth="1"/>
    <col min="10755" max="10755" width="19.140625" style="3" customWidth="1"/>
    <col min="10756" max="10772" width="9.140625" style="3" customWidth="1"/>
    <col min="10773" max="11008" width="9" style="3"/>
    <col min="11009" max="11009" width="5" style="3" customWidth="1"/>
    <col min="11010" max="11010" width="20.7109375" style="3" customWidth="1"/>
    <col min="11011" max="11011" width="19.140625" style="3" customWidth="1"/>
    <col min="11012" max="11028" width="9.140625" style="3" customWidth="1"/>
    <col min="11029" max="11264" width="9" style="3"/>
    <col min="11265" max="11265" width="5" style="3" customWidth="1"/>
    <col min="11266" max="11266" width="20.7109375" style="3" customWidth="1"/>
    <col min="11267" max="11267" width="19.140625" style="3" customWidth="1"/>
    <col min="11268" max="11284" width="9.140625" style="3" customWidth="1"/>
    <col min="11285" max="11520" width="9" style="3"/>
    <col min="11521" max="11521" width="5" style="3" customWidth="1"/>
    <col min="11522" max="11522" width="20.7109375" style="3" customWidth="1"/>
    <col min="11523" max="11523" width="19.140625" style="3" customWidth="1"/>
    <col min="11524" max="11540" width="9.140625" style="3" customWidth="1"/>
    <col min="11541" max="11776" width="9" style="3"/>
    <col min="11777" max="11777" width="5" style="3" customWidth="1"/>
    <col min="11778" max="11778" width="20.7109375" style="3" customWidth="1"/>
    <col min="11779" max="11779" width="19.140625" style="3" customWidth="1"/>
    <col min="11780" max="11796" width="9.140625" style="3" customWidth="1"/>
    <col min="11797" max="12032" width="9" style="3"/>
    <col min="12033" max="12033" width="5" style="3" customWidth="1"/>
    <col min="12034" max="12034" width="20.7109375" style="3" customWidth="1"/>
    <col min="12035" max="12035" width="19.140625" style="3" customWidth="1"/>
    <col min="12036" max="12052" width="9.140625" style="3" customWidth="1"/>
    <col min="12053" max="12288" width="9" style="3"/>
    <col min="12289" max="12289" width="5" style="3" customWidth="1"/>
    <col min="12290" max="12290" width="20.7109375" style="3" customWidth="1"/>
    <col min="12291" max="12291" width="19.140625" style="3" customWidth="1"/>
    <col min="12292" max="12308" width="9.140625" style="3" customWidth="1"/>
    <col min="12309" max="12544" width="9" style="3"/>
    <col min="12545" max="12545" width="5" style="3" customWidth="1"/>
    <col min="12546" max="12546" width="20.7109375" style="3" customWidth="1"/>
    <col min="12547" max="12547" width="19.140625" style="3" customWidth="1"/>
    <col min="12548" max="12564" width="9.140625" style="3" customWidth="1"/>
    <col min="12565" max="12800" width="9" style="3"/>
    <col min="12801" max="12801" width="5" style="3" customWidth="1"/>
    <col min="12802" max="12802" width="20.7109375" style="3" customWidth="1"/>
    <col min="12803" max="12803" width="19.140625" style="3" customWidth="1"/>
    <col min="12804" max="12820" width="9.140625" style="3" customWidth="1"/>
    <col min="12821" max="13056" width="9" style="3"/>
    <col min="13057" max="13057" width="5" style="3" customWidth="1"/>
    <col min="13058" max="13058" width="20.7109375" style="3" customWidth="1"/>
    <col min="13059" max="13059" width="19.140625" style="3" customWidth="1"/>
    <col min="13060" max="13076" width="9.140625" style="3" customWidth="1"/>
    <col min="13077" max="13312" width="9" style="3"/>
    <col min="13313" max="13313" width="5" style="3" customWidth="1"/>
    <col min="13314" max="13314" width="20.7109375" style="3" customWidth="1"/>
    <col min="13315" max="13315" width="19.140625" style="3" customWidth="1"/>
    <col min="13316" max="13332" width="9.140625" style="3" customWidth="1"/>
    <col min="13333" max="13568" width="9" style="3"/>
    <col min="13569" max="13569" width="5" style="3" customWidth="1"/>
    <col min="13570" max="13570" width="20.7109375" style="3" customWidth="1"/>
    <col min="13571" max="13571" width="19.140625" style="3" customWidth="1"/>
    <col min="13572" max="13588" width="9.140625" style="3" customWidth="1"/>
    <col min="13589" max="13824" width="9" style="3"/>
    <col min="13825" max="13825" width="5" style="3" customWidth="1"/>
    <col min="13826" max="13826" width="20.7109375" style="3" customWidth="1"/>
    <col min="13827" max="13827" width="19.140625" style="3" customWidth="1"/>
    <col min="13828" max="13844" width="9.140625" style="3" customWidth="1"/>
    <col min="13845" max="14080" width="9" style="3"/>
    <col min="14081" max="14081" width="5" style="3" customWidth="1"/>
    <col min="14082" max="14082" width="20.7109375" style="3" customWidth="1"/>
    <col min="14083" max="14083" width="19.140625" style="3" customWidth="1"/>
    <col min="14084" max="14100" width="9.140625" style="3" customWidth="1"/>
    <col min="14101" max="14336" width="9" style="3"/>
    <col min="14337" max="14337" width="5" style="3" customWidth="1"/>
    <col min="14338" max="14338" width="20.7109375" style="3" customWidth="1"/>
    <col min="14339" max="14339" width="19.140625" style="3" customWidth="1"/>
    <col min="14340" max="14356" width="9.140625" style="3" customWidth="1"/>
    <col min="14357" max="14592" width="9" style="3"/>
    <col min="14593" max="14593" width="5" style="3" customWidth="1"/>
    <col min="14594" max="14594" width="20.7109375" style="3" customWidth="1"/>
    <col min="14595" max="14595" width="19.140625" style="3" customWidth="1"/>
    <col min="14596" max="14612" width="9.140625" style="3" customWidth="1"/>
    <col min="14613" max="14848" width="9" style="3"/>
    <col min="14849" max="14849" width="5" style="3" customWidth="1"/>
    <col min="14850" max="14850" width="20.7109375" style="3" customWidth="1"/>
    <col min="14851" max="14851" width="19.140625" style="3" customWidth="1"/>
    <col min="14852" max="14868" width="9.140625" style="3" customWidth="1"/>
    <col min="14869" max="15104" width="9" style="3"/>
    <col min="15105" max="15105" width="5" style="3" customWidth="1"/>
    <col min="15106" max="15106" width="20.7109375" style="3" customWidth="1"/>
    <col min="15107" max="15107" width="19.140625" style="3" customWidth="1"/>
    <col min="15108" max="15124" width="9.140625" style="3" customWidth="1"/>
    <col min="15125" max="15360" width="9" style="3"/>
    <col min="15361" max="15361" width="5" style="3" customWidth="1"/>
    <col min="15362" max="15362" width="20.7109375" style="3" customWidth="1"/>
    <col min="15363" max="15363" width="19.140625" style="3" customWidth="1"/>
    <col min="15364" max="15380" width="9.140625" style="3" customWidth="1"/>
    <col min="15381" max="15616" width="9" style="3"/>
    <col min="15617" max="15617" width="5" style="3" customWidth="1"/>
    <col min="15618" max="15618" width="20.7109375" style="3" customWidth="1"/>
    <col min="15619" max="15619" width="19.140625" style="3" customWidth="1"/>
    <col min="15620" max="15636" width="9.140625" style="3" customWidth="1"/>
    <col min="15637" max="15872" width="9" style="3"/>
    <col min="15873" max="15873" width="5" style="3" customWidth="1"/>
    <col min="15874" max="15874" width="20.7109375" style="3" customWidth="1"/>
    <col min="15875" max="15875" width="19.140625" style="3" customWidth="1"/>
    <col min="15876" max="15892" width="9.140625" style="3" customWidth="1"/>
    <col min="15893" max="16128" width="9" style="3"/>
    <col min="16129" max="16129" width="5" style="3" customWidth="1"/>
    <col min="16130" max="16130" width="20.7109375" style="3" customWidth="1"/>
    <col min="16131" max="16131" width="19.140625" style="3" customWidth="1"/>
    <col min="16132" max="16148" width="9.140625" style="3" customWidth="1"/>
    <col min="16149" max="16384" width="9" style="3"/>
  </cols>
  <sheetData>
    <row r="1" spans="1:23" ht="34.5" thickBot="1" x14ac:dyDescent="0.3">
      <c r="A1" s="170" t="s">
        <v>69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2"/>
      <c r="U1" s="1"/>
      <c r="V1" s="1"/>
    </row>
    <row r="2" spans="1:23" ht="179.25" customHeight="1" thickBot="1" x14ac:dyDescent="0.3">
      <c r="A2" s="91" t="s">
        <v>0</v>
      </c>
      <c r="B2" s="5" t="s">
        <v>1</v>
      </c>
      <c r="C2" s="6" t="s">
        <v>2</v>
      </c>
      <c r="D2" s="7" t="s">
        <v>70</v>
      </c>
      <c r="E2" s="8" t="s">
        <v>71</v>
      </c>
      <c r="F2" s="7" t="s">
        <v>80</v>
      </c>
      <c r="G2" s="7" t="s">
        <v>81</v>
      </c>
      <c r="H2" s="7" t="s">
        <v>96</v>
      </c>
      <c r="I2" s="7" t="s">
        <v>95</v>
      </c>
      <c r="J2" s="8" t="s">
        <v>116</v>
      </c>
      <c r="K2" s="8" t="s">
        <v>117</v>
      </c>
      <c r="L2" s="8"/>
      <c r="M2" s="8"/>
      <c r="N2" s="8"/>
      <c r="O2" s="8"/>
      <c r="P2" s="8"/>
      <c r="Q2" s="8"/>
      <c r="R2" s="7"/>
      <c r="S2" s="7"/>
      <c r="T2" s="9" t="s">
        <v>3</v>
      </c>
      <c r="U2" s="10"/>
      <c r="V2" s="10"/>
    </row>
    <row r="3" spans="1:23" x14ac:dyDescent="0.25">
      <c r="A3" s="86" t="s">
        <v>4</v>
      </c>
      <c r="B3" s="14" t="s">
        <v>38</v>
      </c>
      <c r="C3" s="15" t="s">
        <v>39</v>
      </c>
      <c r="D3" s="167">
        <f>100-(107.181-102.15)/102.15*50</f>
        <v>97.53744493392071</v>
      </c>
      <c r="E3" s="17">
        <f>100-(68.47-68.47)/68.47*50</f>
        <v>100</v>
      </c>
      <c r="F3" s="17">
        <f>100-(33.45-33.45)/33.45*50</f>
        <v>100</v>
      </c>
      <c r="G3" s="17">
        <f>100-(105.97-105.97)/105.97*50</f>
        <v>100</v>
      </c>
      <c r="H3" s="81">
        <f>100-(44.43-44.43)/44.43*50</f>
        <v>100</v>
      </c>
      <c r="I3" s="81">
        <f>100-(99.52-99.52)/99.52*50</f>
        <v>100</v>
      </c>
      <c r="J3" s="19">
        <f>100-(39.3-39.08)/39.08*50</f>
        <v>99.718526100307059</v>
      </c>
      <c r="K3" s="17">
        <f>100-(82.98-82.98)/82.98*50</f>
        <v>100</v>
      </c>
      <c r="L3" s="17"/>
      <c r="M3" s="17"/>
      <c r="N3" s="17"/>
      <c r="O3" s="17"/>
      <c r="P3" s="17"/>
      <c r="Q3" s="17"/>
      <c r="R3" s="17"/>
      <c r="S3" s="106"/>
      <c r="T3" s="20">
        <f>SUM(D3:S3)-D3</f>
        <v>699.71852610030703</v>
      </c>
    </row>
    <row r="4" spans="1:23" x14ac:dyDescent="0.25">
      <c r="A4" s="92" t="s">
        <v>6</v>
      </c>
      <c r="B4" s="23" t="s">
        <v>43</v>
      </c>
      <c r="C4" s="24" t="s">
        <v>39</v>
      </c>
      <c r="D4" s="19">
        <f>100-(122.93-102.15)/102.15*50</f>
        <v>89.828683308859524</v>
      </c>
      <c r="E4" s="19">
        <f>100-(83.58-68.47)/68.47*50</f>
        <v>88.965970498028327</v>
      </c>
      <c r="F4" s="21"/>
      <c r="G4" s="21"/>
      <c r="H4" s="29">
        <f>100-(61.22-44.43)/44.43*50</f>
        <v>81.105109160477156</v>
      </c>
      <c r="I4" s="74" t="s">
        <v>12</v>
      </c>
      <c r="J4" s="19">
        <f>100-(41.47-39.08)/39.08*50</f>
        <v>96.942169907881265</v>
      </c>
      <c r="K4" s="25">
        <f>100-(107.18-82.98)/82.98*50</f>
        <v>85.418173053747893</v>
      </c>
      <c r="L4" s="18"/>
      <c r="M4" s="18"/>
      <c r="N4" s="21"/>
      <c r="O4" s="21"/>
      <c r="P4" s="21"/>
      <c r="Q4" s="21"/>
      <c r="R4" s="18"/>
      <c r="S4" s="72"/>
      <c r="T4" s="26">
        <f t="shared" ref="T4:T10" si="0">SUM(D4:S4)</f>
        <v>442.26010592899411</v>
      </c>
    </row>
    <row r="5" spans="1:23" x14ac:dyDescent="0.25">
      <c r="A5" s="92" t="s">
        <v>8</v>
      </c>
      <c r="B5" s="23" t="s">
        <v>40</v>
      </c>
      <c r="C5" s="24" t="s">
        <v>19</v>
      </c>
      <c r="D5" s="19">
        <f>100-(102.15-102.15)/102.15*50</f>
        <v>100</v>
      </c>
      <c r="E5" s="33"/>
      <c r="F5" s="21"/>
      <c r="G5" s="21"/>
      <c r="H5" s="21"/>
      <c r="I5" s="21"/>
      <c r="J5" s="19">
        <f>100-(39.08-39.08)/39.08*50</f>
        <v>100</v>
      </c>
      <c r="K5" s="82">
        <f>100-(99.85-82.98)/82.98*50</f>
        <v>89.834899975897812</v>
      </c>
      <c r="L5" s="18"/>
      <c r="M5" s="25"/>
      <c r="N5" s="18"/>
      <c r="O5" s="18"/>
      <c r="P5" s="18"/>
      <c r="Q5" s="18"/>
      <c r="R5" s="25"/>
      <c r="S5" s="72"/>
      <c r="T5" s="26">
        <f t="shared" si="0"/>
        <v>289.83489997589783</v>
      </c>
    </row>
    <row r="6" spans="1:23" x14ac:dyDescent="0.25">
      <c r="A6" s="92" t="s">
        <v>11</v>
      </c>
      <c r="B6" s="23" t="s">
        <v>121</v>
      </c>
      <c r="C6" s="109"/>
      <c r="D6" s="35"/>
      <c r="E6" s="33"/>
      <c r="F6" s="21"/>
      <c r="G6" s="21"/>
      <c r="H6" s="21"/>
      <c r="I6" s="21"/>
      <c r="J6" s="25">
        <f>100-(56.13-39.08)/39.08*50</f>
        <v>78.185772773797339</v>
      </c>
      <c r="K6" s="18">
        <f>100-(137.93-82.98)/82.98*50</f>
        <v>66.889611954687879</v>
      </c>
      <c r="L6" s="25"/>
      <c r="M6" s="18"/>
      <c r="N6" s="21"/>
      <c r="O6" s="21"/>
      <c r="P6" s="25"/>
      <c r="Q6" s="58"/>
      <c r="R6" s="21"/>
      <c r="S6" s="83"/>
      <c r="T6" s="26">
        <f t="shared" si="0"/>
        <v>145.07538472848523</v>
      </c>
    </row>
    <row r="7" spans="1:23" x14ac:dyDescent="0.25">
      <c r="A7" s="92" t="s">
        <v>13</v>
      </c>
      <c r="B7" s="23" t="s">
        <v>78</v>
      </c>
      <c r="C7" s="24" t="s">
        <v>5</v>
      </c>
      <c r="D7" s="19"/>
      <c r="E7" s="19">
        <f>100-(71.83-68.47)/68.47*50</f>
        <v>97.546370673287569</v>
      </c>
      <c r="F7" s="21"/>
      <c r="G7" s="21"/>
      <c r="H7" s="21"/>
      <c r="I7" s="21"/>
      <c r="J7" s="18"/>
      <c r="K7" s="58"/>
      <c r="L7" s="25"/>
      <c r="M7" s="25"/>
      <c r="N7" s="21"/>
      <c r="O7" s="21"/>
      <c r="P7" s="21"/>
      <c r="Q7" s="21"/>
      <c r="R7" s="18"/>
      <c r="S7" s="29"/>
      <c r="T7" s="26">
        <f t="shared" si="0"/>
        <v>97.546370673287569</v>
      </c>
    </row>
    <row r="8" spans="1:23" x14ac:dyDescent="0.25">
      <c r="A8" s="92" t="s">
        <v>15</v>
      </c>
      <c r="B8" s="23" t="s">
        <v>45</v>
      </c>
      <c r="C8" s="24" t="s">
        <v>39</v>
      </c>
      <c r="D8" s="36"/>
      <c r="E8" s="19">
        <f>100-(77.02-68.47)/68.47*50</f>
        <v>93.756389659704979</v>
      </c>
      <c r="F8" s="18"/>
      <c r="G8" s="18"/>
      <c r="H8" s="112"/>
      <c r="I8" s="21"/>
      <c r="J8" s="18"/>
      <c r="K8" s="25"/>
      <c r="L8" s="18"/>
      <c r="M8" s="25"/>
      <c r="N8" s="58"/>
      <c r="O8" s="58"/>
      <c r="P8" s="58"/>
      <c r="Q8" s="58"/>
      <c r="R8" s="18"/>
      <c r="S8" s="72"/>
      <c r="T8" s="26">
        <f t="shared" si="0"/>
        <v>93.756389659704979</v>
      </c>
    </row>
    <row r="9" spans="1:23" x14ac:dyDescent="0.25">
      <c r="A9" s="92" t="s">
        <v>18</v>
      </c>
      <c r="B9" s="23" t="s">
        <v>44</v>
      </c>
      <c r="C9" s="24" t="s">
        <v>17</v>
      </c>
      <c r="D9" s="33"/>
      <c r="E9" s="25">
        <f>100-(81.57-68.47)/68.47*50</f>
        <v>90.433766613115239</v>
      </c>
      <c r="F9" s="21"/>
      <c r="G9" s="21"/>
      <c r="H9" s="21"/>
      <c r="I9" s="21"/>
      <c r="J9" s="18"/>
      <c r="K9" s="18"/>
      <c r="L9" s="25"/>
      <c r="M9" s="25"/>
      <c r="N9" s="21"/>
      <c r="O9" s="21"/>
      <c r="P9" s="21"/>
      <c r="Q9" s="21"/>
      <c r="R9" s="21"/>
      <c r="S9" s="29"/>
      <c r="T9" s="26">
        <f t="shared" si="0"/>
        <v>90.433766613115239</v>
      </c>
    </row>
    <row r="10" spans="1:23" ht="15.75" thickBot="1" x14ac:dyDescent="0.3">
      <c r="A10" s="93" t="s">
        <v>20</v>
      </c>
      <c r="B10" s="40" t="s">
        <v>41</v>
      </c>
      <c r="C10" s="41" t="s">
        <v>42</v>
      </c>
      <c r="D10" s="165"/>
      <c r="E10" s="46"/>
      <c r="F10" s="43"/>
      <c r="G10" s="43"/>
      <c r="H10" s="43">
        <f>100-(66.35-44.43)/44.43*50</f>
        <v>75.331982894440699</v>
      </c>
      <c r="I10" s="63"/>
      <c r="J10" s="43"/>
      <c r="K10" s="43"/>
      <c r="L10" s="46"/>
      <c r="M10" s="46"/>
      <c r="N10" s="43"/>
      <c r="O10" s="43"/>
      <c r="P10" s="46"/>
      <c r="Q10" s="43"/>
      <c r="R10" s="43"/>
      <c r="S10" s="78"/>
      <c r="T10" s="48">
        <f t="shared" si="0"/>
        <v>75.331982894440699</v>
      </c>
    </row>
    <row r="11" spans="1:23" s="65" customForma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49"/>
      <c r="M11" s="64"/>
      <c r="N11" s="2"/>
      <c r="O11" s="2"/>
      <c r="P11" s="2"/>
      <c r="Q11" s="2"/>
      <c r="R11" s="2"/>
      <c r="S11" s="2"/>
      <c r="T11" s="52"/>
      <c r="U11" s="2"/>
      <c r="V11" s="2"/>
      <c r="W11" s="2"/>
    </row>
    <row r="12" spans="1:23" s="66" customFormat="1" x14ac:dyDescent="0.25">
      <c r="L12" s="67"/>
      <c r="M12" s="68"/>
      <c r="N12" s="67"/>
      <c r="O12" s="67"/>
      <c r="P12" s="67"/>
      <c r="Q12" s="67"/>
      <c r="T12" s="69"/>
      <c r="U12" s="2"/>
      <c r="V12" s="2"/>
      <c r="W12" s="2"/>
    </row>
    <row r="13" spans="1:23" s="2" customFormat="1" x14ac:dyDescent="0.25">
      <c r="T13" s="49"/>
    </row>
    <row r="14" spans="1:23" s="54" customFormat="1" x14ac:dyDescent="0.25">
      <c r="A14" s="54" t="s">
        <v>36</v>
      </c>
    </row>
    <row r="15" spans="1:23" s="55" customFormat="1" x14ac:dyDescent="0.25">
      <c r="A15" s="55" t="s">
        <v>37</v>
      </c>
    </row>
  </sheetData>
  <sortState ref="B3:T10">
    <sortCondition descending="1" ref="T3"/>
  </sortState>
  <mergeCells count="1">
    <mergeCell ref="A1:T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workbookViewId="0">
      <selection activeCell="J4" sqref="J4"/>
    </sheetView>
  </sheetViews>
  <sheetFormatPr defaultColWidth="9" defaultRowHeight="15" x14ac:dyDescent="0.25"/>
  <cols>
    <col min="1" max="1" width="5.140625" style="3" customWidth="1"/>
    <col min="2" max="2" width="20.85546875" style="3" customWidth="1"/>
    <col min="3" max="3" width="9" style="3"/>
    <col min="4" max="7" width="9.140625" style="56" customWidth="1"/>
    <col min="8" max="20" width="9.140625" style="3" customWidth="1"/>
    <col min="21" max="30" width="9" style="2"/>
    <col min="31" max="256" width="9" style="3"/>
    <col min="257" max="257" width="5.140625" style="3" customWidth="1"/>
    <col min="258" max="258" width="20.85546875" style="3" customWidth="1"/>
    <col min="259" max="259" width="9" style="3"/>
    <col min="260" max="276" width="9.140625" style="3" customWidth="1"/>
    <col min="277" max="512" width="9" style="3"/>
    <col min="513" max="513" width="5.140625" style="3" customWidth="1"/>
    <col min="514" max="514" width="20.85546875" style="3" customWidth="1"/>
    <col min="515" max="515" width="9" style="3"/>
    <col min="516" max="532" width="9.140625" style="3" customWidth="1"/>
    <col min="533" max="768" width="9" style="3"/>
    <col min="769" max="769" width="5.140625" style="3" customWidth="1"/>
    <col min="770" max="770" width="20.85546875" style="3" customWidth="1"/>
    <col min="771" max="771" width="9" style="3"/>
    <col min="772" max="788" width="9.140625" style="3" customWidth="1"/>
    <col min="789" max="1024" width="9" style="3"/>
    <col min="1025" max="1025" width="5.140625" style="3" customWidth="1"/>
    <col min="1026" max="1026" width="20.85546875" style="3" customWidth="1"/>
    <col min="1027" max="1027" width="9" style="3"/>
    <col min="1028" max="1044" width="9.140625" style="3" customWidth="1"/>
    <col min="1045" max="1280" width="9" style="3"/>
    <col min="1281" max="1281" width="5.140625" style="3" customWidth="1"/>
    <col min="1282" max="1282" width="20.85546875" style="3" customWidth="1"/>
    <col min="1283" max="1283" width="9" style="3"/>
    <col min="1284" max="1300" width="9.140625" style="3" customWidth="1"/>
    <col min="1301" max="1536" width="9" style="3"/>
    <col min="1537" max="1537" width="5.140625" style="3" customWidth="1"/>
    <col min="1538" max="1538" width="20.85546875" style="3" customWidth="1"/>
    <col min="1539" max="1539" width="9" style="3"/>
    <col min="1540" max="1556" width="9.140625" style="3" customWidth="1"/>
    <col min="1557" max="1792" width="9" style="3"/>
    <col min="1793" max="1793" width="5.140625" style="3" customWidth="1"/>
    <col min="1794" max="1794" width="20.85546875" style="3" customWidth="1"/>
    <col min="1795" max="1795" width="9" style="3"/>
    <col min="1796" max="1812" width="9.140625" style="3" customWidth="1"/>
    <col min="1813" max="2048" width="9" style="3"/>
    <col min="2049" max="2049" width="5.140625" style="3" customWidth="1"/>
    <col min="2050" max="2050" width="20.85546875" style="3" customWidth="1"/>
    <col min="2051" max="2051" width="9" style="3"/>
    <col min="2052" max="2068" width="9.140625" style="3" customWidth="1"/>
    <col min="2069" max="2304" width="9" style="3"/>
    <col min="2305" max="2305" width="5.140625" style="3" customWidth="1"/>
    <col min="2306" max="2306" width="20.85546875" style="3" customWidth="1"/>
    <col min="2307" max="2307" width="9" style="3"/>
    <col min="2308" max="2324" width="9.140625" style="3" customWidth="1"/>
    <col min="2325" max="2560" width="9" style="3"/>
    <col min="2561" max="2561" width="5.140625" style="3" customWidth="1"/>
    <col min="2562" max="2562" width="20.85546875" style="3" customWidth="1"/>
    <col min="2563" max="2563" width="9" style="3"/>
    <col min="2564" max="2580" width="9.140625" style="3" customWidth="1"/>
    <col min="2581" max="2816" width="9" style="3"/>
    <col min="2817" max="2817" width="5.140625" style="3" customWidth="1"/>
    <col min="2818" max="2818" width="20.85546875" style="3" customWidth="1"/>
    <col min="2819" max="2819" width="9" style="3"/>
    <col min="2820" max="2836" width="9.140625" style="3" customWidth="1"/>
    <col min="2837" max="3072" width="9" style="3"/>
    <col min="3073" max="3073" width="5.140625" style="3" customWidth="1"/>
    <col min="3074" max="3074" width="20.85546875" style="3" customWidth="1"/>
    <col min="3075" max="3075" width="9" style="3"/>
    <col min="3076" max="3092" width="9.140625" style="3" customWidth="1"/>
    <col min="3093" max="3328" width="9" style="3"/>
    <col min="3329" max="3329" width="5.140625" style="3" customWidth="1"/>
    <col min="3330" max="3330" width="20.85546875" style="3" customWidth="1"/>
    <col min="3331" max="3331" width="9" style="3"/>
    <col min="3332" max="3348" width="9.140625" style="3" customWidth="1"/>
    <col min="3349" max="3584" width="9" style="3"/>
    <col min="3585" max="3585" width="5.140625" style="3" customWidth="1"/>
    <col min="3586" max="3586" width="20.85546875" style="3" customWidth="1"/>
    <col min="3587" max="3587" width="9" style="3"/>
    <col min="3588" max="3604" width="9.140625" style="3" customWidth="1"/>
    <col min="3605" max="3840" width="9" style="3"/>
    <col min="3841" max="3841" width="5.140625" style="3" customWidth="1"/>
    <col min="3842" max="3842" width="20.85546875" style="3" customWidth="1"/>
    <col min="3843" max="3843" width="9" style="3"/>
    <col min="3844" max="3860" width="9.140625" style="3" customWidth="1"/>
    <col min="3861" max="4096" width="9" style="3"/>
    <col min="4097" max="4097" width="5.140625" style="3" customWidth="1"/>
    <col min="4098" max="4098" width="20.85546875" style="3" customWidth="1"/>
    <col min="4099" max="4099" width="9" style="3"/>
    <col min="4100" max="4116" width="9.140625" style="3" customWidth="1"/>
    <col min="4117" max="4352" width="9" style="3"/>
    <col min="4353" max="4353" width="5.140625" style="3" customWidth="1"/>
    <col min="4354" max="4354" width="20.85546875" style="3" customWidth="1"/>
    <col min="4355" max="4355" width="9" style="3"/>
    <col min="4356" max="4372" width="9.140625" style="3" customWidth="1"/>
    <col min="4373" max="4608" width="9" style="3"/>
    <col min="4609" max="4609" width="5.140625" style="3" customWidth="1"/>
    <col min="4610" max="4610" width="20.85546875" style="3" customWidth="1"/>
    <col min="4611" max="4611" width="9" style="3"/>
    <col min="4612" max="4628" width="9.140625" style="3" customWidth="1"/>
    <col min="4629" max="4864" width="9" style="3"/>
    <col min="4865" max="4865" width="5.140625" style="3" customWidth="1"/>
    <col min="4866" max="4866" width="20.85546875" style="3" customWidth="1"/>
    <col min="4867" max="4867" width="9" style="3"/>
    <col min="4868" max="4884" width="9.140625" style="3" customWidth="1"/>
    <col min="4885" max="5120" width="9" style="3"/>
    <col min="5121" max="5121" width="5.140625" style="3" customWidth="1"/>
    <col min="5122" max="5122" width="20.85546875" style="3" customWidth="1"/>
    <col min="5123" max="5123" width="9" style="3"/>
    <col min="5124" max="5140" width="9.140625" style="3" customWidth="1"/>
    <col min="5141" max="5376" width="9" style="3"/>
    <col min="5377" max="5377" width="5.140625" style="3" customWidth="1"/>
    <col min="5378" max="5378" width="20.85546875" style="3" customWidth="1"/>
    <col min="5379" max="5379" width="9" style="3"/>
    <col min="5380" max="5396" width="9.140625" style="3" customWidth="1"/>
    <col min="5397" max="5632" width="9" style="3"/>
    <col min="5633" max="5633" width="5.140625" style="3" customWidth="1"/>
    <col min="5634" max="5634" width="20.85546875" style="3" customWidth="1"/>
    <col min="5635" max="5635" width="9" style="3"/>
    <col min="5636" max="5652" width="9.140625" style="3" customWidth="1"/>
    <col min="5653" max="5888" width="9" style="3"/>
    <col min="5889" max="5889" width="5.140625" style="3" customWidth="1"/>
    <col min="5890" max="5890" width="20.85546875" style="3" customWidth="1"/>
    <col min="5891" max="5891" width="9" style="3"/>
    <col min="5892" max="5908" width="9.140625" style="3" customWidth="1"/>
    <col min="5909" max="6144" width="9" style="3"/>
    <col min="6145" max="6145" width="5.140625" style="3" customWidth="1"/>
    <col min="6146" max="6146" width="20.85546875" style="3" customWidth="1"/>
    <col min="6147" max="6147" width="9" style="3"/>
    <col min="6148" max="6164" width="9.140625" style="3" customWidth="1"/>
    <col min="6165" max="6400" width="9" style="3"/>
    <col min="6401" max="6401" width="5.140625" style="3" customWidth="1"/>
    <col min="6402" max="6402" width="20.85546875" style="3" customWidth="1"/>
    <col min="6403" max="6403" width="9" style="3"/>
    <col min="6404" max="6420" width="9.140625" style="3" customWidth="1"/>
    <col min="6421" max="6656" width="9" style="3"/>
    <col min="6657" max="6657" width="5.140625" style="3" customWidth="1"/>
    <col min="6658" max="6658" width="20.85546875" style="3" customWidth="1"/>
    <col min="6659" max="6659" width="9" style="3"/>
    <col min="6660" max="6676" width="9.140625" style="3" customWidth="1"/>
    <col min="6677" max="6912" width="9" style="3"/>
    <col min="6913" max="6913" width="5.140625" style="3" customWidth="1"/>
    <col min="6914" max="6914" width="20.85546875" style="3" customWidth="1"/>
    <col min="6915" max="6915" width="9" style="3"/>
    <col min="6916" max="6932" width="9.140625" style="3" customWidth="1"/>
    <col min="6933" max="7168" width="9" style="3"/>
    <col min="7169" max="7169" width="5.140625" style="3" customWidth="1"/>
    <col min="7170" max="7170" width="20.85546875" style="3" customWidth="1"/>
    <col min="7171" max="7171" width="9" style="3"/>
    <col min="7172" max="7188" width="9.140625" style="3" customWidth="1"/>
    <col min="7189" max="7424" width="9" style="3"/>
    <col min="7425" max="7425" width="5.140625" style="3" customWidth="1"/>
    <col min="7426" max="7426" width="20.85546875" style="3" customWidth="1"/>
    <col min="7427" max="7427" width="9" style="3"/>
    <col min="7428" max="7444" width="9.140625" style="3" customWidth="1"/>
    <col min="7445" max="7680" width="9" style="3"/>
    <col min="7681" max="7681" width="5.140625" style="3" customWidth="1"/>
    <col min="7682" max="7682" width="20.85546875" style="3" customWidth="1"/>
    <col min="7683" max="7683" width="9" style="3"/>
    <col min="7684" max="7700" width="9.140625" style="3" customWidth="1"/>
    <col min="7701" max="7936" width="9" style="3"/>
    <col min="7937" max="7937" width="5.140625" style="3" customWidth="1"/>
    <col min="7938" max="7938" width="20.85546875" style="3" customWidth="1"/>
    <col min="7939" max="7939" width="9" style="3"/>
    <col min="7940" max="7956" width="9.140625" style="3" customWidth="1"/>
    <col min="7957" max="8192" width="9" style="3"/>
    <col min="8193" max="8193" width="5.140625" style="3" customWidth="1"/>
    <col min="8194" max="8194" width="20.85546875" style="3" customWidth="1"/>
    <col min="8195" max="8195" width="9" style="3"/>
    <col min="8196" max="8212" width="9.140625" style="3" customWidth="1"/>
    <col min="8213" max="8448" width="9" style="3"/>
    <col min="8449" max="8449" width="5.140625" style="3" customWidth="1"/>
    <col min="8450" max="8450" width="20.85546875" style="3" customWidth="1"/>
    <col min="8451" max="8451" width="9" style="3"/>
    <col min="8452" max="8468" width="9.140625" style="3" customWidth="1"/>
    <col min="8469" max="8704" width="9" style="3"/>
    <col min="8705" max="8705" width="5.140625" style="3" customWidth="1"/>
    <col min="8706" max="8706" width="20.85546875" style="3" customWidth="1"/>
    <col min="8707" max="8707" width="9" style="3"/>
    <col min="8708" max="8724" width="9.140625" style="3" customWidth="1"/>
    <col min="8725" max="8960" width="9" style="3"/>
    <col min="8961" max="8961" width="5.140625" style="3" customWidth="1"/>
    <col min="8962" max="8962" width="20.85546875" style="3" customWidth="1"/>
    <col min="8963" max="8963" width="9" style="3"/>
    <col min="8964" max="8980" width="9.140625" style="3" customWidth="1"/>
    <col min="8981" max="9216" width="9" style="3"/>
    <col min="9217" max="9217" width="5.140625" style="3" customWidth="1"/>
    <col min="9218" max="9218" width="20.85546875" style="3" customWidth="1"/>
    <col min="9219" max="9219" width="9" style="3"/>
    <col min="9220" max="9236" width="9.140625" style="3" customWidth="1"/>
    <col min="9237" max="9472" width="9" style="3"/>
    <col min="9473" max="9473" width="5.140625" style="3" customWidth="1"/>
    <col min="9474" max="9474" width="20.85546875" style="3" customWidth="1"/>
    <col min="9475" max="9475" width="9" style="3"/>
    <col min="9476" max="9492" width="9.140625" style="3" customWidth="1"/>
    <col min="9493" max="9728" width="9" style="3"/>
    <col min="9729" max="9729" width="5.140625" style="3" customWidth="1"/>
    <col min="9730" max="9730" width="20.85546875" style="3" customWidth="1"/>
    <col min="9731" max="9731" width="9" style="3"/>
    <col min="9732" max="9748" width="9.140625" style="3" customWidth="1"/>
    <col min="9749" max="9984" width="9" style="3"/>
    <col min="9985" max="9985" width="5.140625" style="3" customWidth="1"/>
    <col min="9986" max="9986" width="20.85546875" style="3" customWidth="1"/>
    <col min="9987" max="9987" width="9" style="3"/>
    <col min="9988" max="10004" width="9.140625" style="3" customWidth="1"/>
    <col min="10005" max="10240" width="9" style="3"/>
    <col min="10241" max="10241" width="5.140625" style="3" customWidth="1"/>
    <col min="10242" max="10242" width="20.85546875" style="3" customWidth="1"/>
    <col min="10243" max="10243" width="9" style="3"/>
    <col min="10244" max="10260" width="9.140625" style="3" customWidth="1"/>
    <col min="10261" max="10496" width="9" style="3"/>
    <col min="10497" max="10497" width="5.140625" style="3" customWidth="1"/>
    <col min="10498" max="10498" width="20.85546875" style="3" customWidth="1"/>
    <col min="10499" max="10499" width="9" style="3"/>
    <col min="10500" max="10516" width="9.140625" style="3" customWidth="1"/>
    <col min="10517" max="10752" width="9" style="3"/>
    <col min="10753" max="10753" width="5.140625" style="3" customWidth="1"/>
    <col min="10754" max="10754" width="20.85546875" style="3" customWidth="1"/>
    <col min="10755" max="10755" width="9" style="3"/>
    <col min="10756" max="10772" width="9.140625" style="3" customWidth="1"/>
    <col min="10773" max="11008" width="9" style="3"/>
    <col min="11009" max="11009" width="5.140625" style="3" customWidth="1"/>
    <col min="11010" max="11010" width="20.85546875" style="3" customWidth="1"/>
    <col min="11011" max="11011" width="9" style="3"/>
    <col min="11012" max="11028" width="9.140625" style="3" customWidth="1"/>
    <col min="11029" max="11264" width="9" style="3"/>
    <col min="11265" max="11265" width="5.140625" style="3" customWidth="1"/>
    <col min="11266" max="11266" width="20.85546875" style="3" customWidth="1"/>
    <col min="11267" max="11267" width="9" style="3"/>
    <col min="11268" max="11284" width="9.140625" style="3" customWidth="1"/>
    <col min="11285" max="11520" width="9" style="3"/>
    <col min="11521" max="11521" width="5.140625" style="3" customWidth="1"/>
    <col min="11522" max="11522" width="20.85546875" style="3" customWidth="1"/>
    <col min="11523" max="11523" width="9" style="3"/>
    <col min="11524" max="11540" width="9.140625" style="3" customWidth="1"/>
    <col min="11541" max="11776" width="9" style="3"/>
    <col min="11777" max="11777" width="5.140625" style="3" customWidth="1"/>
    <col min="11778" max="11778" width="20.85546875" style="3" customWidth="1"/>
    <col min="11779" max="11779" width="9" style="3"/>
    <col min="11780" max="11796" width="9.140625" style="3" customWidth="1"/>
    <col min="11797" max="12032" width="9" style="3"/>
    <col min="12033" max="12033" width="5.140625" style="3" customWidth="1"/>
    <col min="12034" max="12034" width="20.85546875" style="3" customWidth="1"/>
    <col min="12035" max="12035" width="9" style="3"/>
    <col min="12036" max="12052" width="9.140625" style="3" customWidth="1"/>
    <col min="12053" max="12288" width="9" style="3"/>
    <col min="12289" max="12289" width="5.140625" style="3" customWidth="1"/>
    <col min="12290" max="12290" width="20.85546875" style="3" customWidth="1"/>
    <col min="12291" max="12291" width="9" style="3"/>
    <col min="12292" max="12308" width="9.140625" style="3" customWidth="1"/>
    <col min="12309" max="12544" width="9" style="3"/>
    <col min="12545" max="12545" width="5.140625" style="3" customWidth="1"/>
    <col min="12546" max="12546" width="20.85546875" style="3" customWidth="1"/>
    <col min="12547" max="12547" width="9" style="3"/>
    <col min="12548" max="12564" width="9.140625" style="3" customWidth="1"/>
    <col min="12565" max="12800" width="9" style="3"/>
    <col min="12801" max="12801" width="5.140625" style="3" customWidth="1"/>
    <col min="12802" max="12802" width="20.85546875" style="3" customWidth="1"/>
    <col min="12803" max="12803" width="9" style="3"/>
    <col min="12804" max="12820" width="9.140625" style="3" customWidth="1"/>
    <col min="12821" max="13056" width="9" style="3"/>
    <col min="13057" max="13057" width="5.140625" style="3" customWidth="1"/>
    <col min="13058" max="13058" width="20.85546875" style="3" customWidth="1"/>
    <col min="13059" max="13059" width="9" style="3"/>
    <col min="13060" max="13076" width="9.140625" style="3" customWidth="1"/>
    <col min="13077" max="13312" width="9" style="3"/>
    <col min="13313" max="13313" width="5.140625" style="3" customWidth="1"/>
    <col min="13314" max="13314" width="20.85546875" style="3" customWidth="1"/>
    <col min="13315" max="13315" width="9" style="3"/>
    <col min="13316" max="13332" width="9.140625" style="3" customWidth="1"/>
    <col min="13333" max="13568" width="9" style="3"/>
    <col min="13569" max="13569" width="5.140625" style="3" customWidth="1"/>
    <col min="13570" max="13570" width="20.85546875" style="3" customWidth="1"/>
    <col min="13571" max="13571" width="9" style="3"/>
    <col min="13572" max="13588" width="9.140625" style="3" customWidth="1"/>
    <col min="13589" max="13824" width="9" style="3"/>
    <col min="13825" max="13825" width="5.140625" style="3" customWidth="1"/>
    <col min="13826" max="13826" width="20.85546875" style="3" customWidth="1"/>
    <col min="13827" max="13827" width="9" style="3"/>
    <col min="13828" max="13844" width="9.140625" style="3" customWidth="1"/>
    <col min="13845" max="14080" width="9" style="3"/>
    <col min="14081" max="14081" width="5.140625" style="3" customWidth="1"/>
    <col min="14082" max="14082" width="20.85546875" style="3" customWidth="1"/>
    <col min="14083" max="14083" width="9" style="3"/>
    <col min="14084" max="14100" width="9.140625" style="3" customWidth="1"/>
    <col min="14101" max="14336" width="9" style="3"/>
    <col min="14337" max="14337" width="5.140625" style="3" customWidth="1"/>
    <col min="14338" max="14338" width="20.85546875" style="3" customWidth="1"/>
    <col min="14339" max="14339" width="9" style="3"/>
    <col min="14340" max="14356" width="9.140625" style="3" customWidth="1"/>
    <col min="14357" max="14592" width="9" style="3"/>
    <col min="14593" max="14593" width="5.140625" style="3" customWidth="1"/>
    <col min="14594" max="14594" width="20.85546875" style="3" customWidth="1"/>
    <col min="14595" max="14595" width="9" style="3"/>
    <col min="14596" max="14612" width="9.140625" style="3" customWidth="1"/>
    <col min="14613" max="14848" width="9" style="3"/>
    <col min="14849" max="14849" width="5.140625" style="3" customWidth="1"/>
    <col min="14850" max="14850" width="20.85546875" style="3" customWidth="1"/>
    <col min="14851" max="14851" width="9" style="3"/>
    <col min="14852" max="14868" width="9.140625" style="3" customWidth="1"/>
    <col min="14869" max="15104" width="9" style="3"/>
    <col min="15105" max="15105" width="5.140625" style="3" customWidth="1"/>
    <col min="15106" max="15106" width="20.85546875" style="3" customWidth="1"/>
    <col min="15107" max="15107" width="9" style="3"/>
    <col min="15108" max="15124" width="9.140625" style="3" customWidth="1"/>
    <col min="15125" max="15360" width="9" style="3"/>
    <col min="15361" max="15361" width="5.140625" style="3" customWidth="1"/>
    <col min="15362" max="15362" width="20.85546875" style="3" customWidth="1"/>
    <col min="15363" max="15363" width="9" style="3"/>
    <col min="15364" max="15380" width="9.140625" style="3" customWidth="1"/>
    <col min="15381" max="15616" width="9" style="3"/>
    <col min="15617" max="15617" width="5.140625" style="3" customWidth="1"/>
    <col min="15618" max="15618" width="20.85546875" style="3" customWidth="1"/>
    <col min="15619" max="15619" width="9" style="3"/>
    <col min="15620" max="15636" width="9.140625" style="3" customWidth="1"/>
    <col min="15637" max="15872" width="9" style="3"/>
    <col min="15873" max="15873" width="5.140625" style="3" customWidth="1"/>
    <col min="15874" max="15874" width="20.85546875" style="3" customWidth="1"/>
    <col min="15875" max="15875" width="9" style="3"/>
    <col min="15876" max="15892" width="9.140625" style="3" customWidth="1"/>
    <col min="15893" max="16128" width="9" style="3"/>
    <col min="16129" max="16129" width="5.140625" style="3" customWidth="1"/>
    <col min="16130" max="16130" width="20.85546875" style="3" customWidth="1"/>
    <col min="16131" max="16131" width="9" style="3"/>
    <col min="16132" max="16148" width="9.140625" style="3" customWidth="1"/>
    <col min="16149" max="16384" width="9" style="3"/>
  </cols>
  <sheetData>
    <row r="1" spans="1:30" ht="34.5" thickBot="1" x14ac:dyDescent="0.3">
      <c r="A1" s="170" t="s">
        <v>69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2"/>
      <c r="U1" s="70"/>
      <c r="V1" s="70"/>
    </row>
    <row r="2" spans="1:30" ht="177" customHeight="1" thickBot="1" x14ac:dyDescent="0.3">
      <c r="A2" s="4" t="s">
        <v>0</v>
      </c>
      <c r="B2" s="5" t="s">
        <v>1</v>
      </c>
      <c r="C2" s="6" t="s">
        <v>2</v>
      </c>
      <c r="D2" s="7" t="s">
        <v>70</v>
      </c>
      <c r="E2" s="8" t="s">
        <v>71</v>
      </c>
      <c r="F2" s="7" t="s">
        <v>80</v>
      </c>
      <c r="G2" s="7" t="s">
        <v>81</v>
      </c>
      <c r="H2" s="7" t="s">
        <v>96</v>
      </c>
      <c r="I2" s="7" t="s">
        <v>95</v>
      </c>
      <c r="J2" s="8" t="s">
        <v>116</v>
      </c>
      <c r="K2" s="8" t="s">
        <v>117</v>
      </c>
      <c r="L2" s="8"/>
      <c r="M2" s="8"/>
      <c r="N2" s="8"/>
      <c r="O2" s="8"/>
      <c r="P2" s="8"/>
      <c r="Q2" s="8"/>
      <c r="R2" s="7"/>
      <c r="S2" s="7"/>
      <c r="T2" s="9" t="s">
        <v>3</v>
      </c>
      <c r="U2" s="10"/>
      <c r="V2" s="10"/>
    </row>
    <row r="3" spans="1:30" x14ac:dyDescent="0.25">
      <c r="A3" s="13" t="s">
        <v>4</v>
      </c>
      <c r="B3" s="14" t="s">
        <v>137</v>
      </c>
      <c r="C3" s="15" t="s">
        <v>77</v>
      </c>
      <c r="D3" s="16"/>
      <c r="E3" s="17"/>
      <c r="F3" s="17"/>
      <c r="G3" s="17"/>
      <c r="H3" s="57"/>
      <c r="I3" s="57"/>
      <c r="J3" s="25">
        <f>100-(37.28-37.28)/37.28*50</f>
        <v>100</v>
      </c>
      <c r="K3" s="57"/>
      <c r="L3" s="17"/>
      <c r="M3" s="103"/>
      <c r="N3" s="17"/>
      <c r="O3" s="17"/>
      <c r="P3" s="17"/>
      <c r="Q3" s="17"/>
      <c r="R3" s="17"/>
      <c r="S3" s="106"/>
      <c r="T3" s="20">
        <f>SUM(D3:S3)</f>
        <v>100</v>
      </c>
    </row>
    <row r="4" spans="1:30" ht="15.75" thickBot="1" x14ac:dyDescent="0.3">
      <c r="A4" s="39" t="s">
        <v>6</v>
      </c>
      <c r="B4" s="40"/>
      <c r="C4" s="41"/>
      <c r="D4" s="76"/>
      <c r="E4" s="77"/>
      <c r="F4" s="77"/>
      <c r="G4" s="77"/>
      <c r="H4" s="63"/>
      <c r="I4" s="63"/>
      <c r="J4" s="63"/>
      <c r="K4" s="63"/>
      <c r="L4" s="46"/>
      <c r="M4" s="123"/>
      <c r="N4" s="118"/>
      <c r="O4" s="118"/>
      <c r="P4" s="118"/>
      <c r="Q4" s="118"/>
      <c r="R4" s="43"/>
      <c r="S4" s="47"/>
      <c r="T4" s="124">
        <f>SUM(D4:S4)</f>
        <v>0</v>
      </c>
    </row>
    <row r="5" spans="1:30" s="65" customFormat="1" x14ac:dyDescent="0.25">
      <c r="A5" s="79"/>
      <c r="B5" s="2"/>
      <c r="C5" s="2"/>
      <c r="D5" s="53"/>
      <c r="E5" s="53"/>
      <c r="F5" s="53"/>
      <c r="G5" s="53"/>
      <c r="H5" s="2"/>
      <c r="I5" s="2"/>
      <c r="J5" s="2"/>
      <c r="K5" s="2"/>
      <c r="L5" s="80"/>
      <c r="M5" s="80"/>
      <c r="N5" s="2"/>
      <c r="O5" s="2"/>
      <c r="P5" s="2"/>
      <c r="Q5" s="2"/>
      <c r="R5" s="80"/>
      <c r="S5" s="80"/>
      <c r="T5" s="5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s="2" customFormat="1" x14ac:dyDescent="0.25">
      <c r="A6" s="79"/>
      <c r="D6" s="53"/>
      <c r="E6" s="53"/>
      <c r="F6" s="53"/>
      <c r="G6" s="53"/>
      <c r="L6" s="80"/>
      <c r="M6" s="80"/>
      <c r="R6" s="80"/>
      <c r="S6" s="80"/>
      <c r="T6" s="52"/>
    </row>
    <row r="7" spans="1:30" s="2" customFormat="1" x14ac:dyDescent="0.25">
      <c r="D7" s="53"/>
      <c r="E7" s="53"/>
      <c r="F7" s="53"/>
      <c r="G7" s="53"/>
      <c r="T7" s="49"/>
    </row>
    <row r="8" spans="1:30" s="54" customFormat="1" x14ac:dyDescent="0.25">
      <c r="A8" s="54" t="s">
        <v>36</v>
      </c>
    </row>
    <row r="9" spans="1:30" s="55" customFormat="1" x14ac:dyDescent="0.25">
      <c r="A9" s="55" t="s">
        <v>37</v>
      </c>
    </row>
  </sheetData>
  <mergeCells count="1">
    <mergeCell ref="A1:T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workbookViewId="0">
      <selection activeCell="V12" sqref="V12"/>
    </sheetView>
  </sheetViews>
  <sheetFormatPr defaultColWidth="9" defaultRowHeight="15" x14ac:dyDescent="0.25"/>
  <cols>
    <col min="1" max="1" width="5" style="3" customWidth="1"/>
    <col min="2" max="2" width="20.85546875" style="3" customWidth="1"/>
    <col min="3" max="3" width="9" style="3"/>
    <col min="4" max="7" width="9.140625" style="56" customWidth="1"/>
    <col min="8" max="20" width="9.140625" style="3" customWidth="1"/>
    <col min="21" max="32" width="9" style="2"/>
    <col min="33" max="256" width="9" style="3"/>
    <col min="257" max="257" width="5" style="3" customWidth="1"/>
    <col min="258" max="258" width="20.85546875" style="3" customWidth="1"/>
    <col min="259" max="259" width="9" style="3"/>
    <col min="260" max="276" width="9.140625" style="3" customWidth="1"/>
    <col min="277" max="512" width="9" style="3"/>
    <col min="513" max="513" width="5" style="3" customWidth="1"/>
    <col min="514" max="514" width="20.85546875" style="3" customWidth="1"/>
    <col min="515" max="515" width="9" style="3"/>
    <col min="516" max="532" width="9.140625" style="3" customWidth="1"/>
    <col min="533" max="768" width="9" style="3"/>
    <col min="769" max="769" width="5" style="3" customWidth="1"/>
    <col min="770" max="770" width="20.85546875" style="3" customWidth="1"/>
    <col min="771" max="771" width="9" style="3"/>
    <col min="772" max="788" width="9.140625" style="3" customWidth="1"/>
    <col min="789" max="1024" width="9" style="3"/>
    <col min="1025" max="1025" width="5" style="3" customWidth="1"/>
    <col min="1026" max="1026" width="20.85546875" style="3" customWidth="1"/>
    <col min="1027" max="1027" width="9" style="3"/>
    <col min="1028" max="1044" width="9.140625" style="3" customWidth="1"/>
    <col min="1045" max="1280" width="9" style="3"/>
    <col min="1281" max="1281" width="5" style="3" customWidth="1"/>
    <col min="1282" max="1282" width="20.85546875" style="3" customWidth="1"/>
    <col min="1283" max="1283" width="9" style="3"/>
    <col min="1284" max="1300" width="9.140625" style="3" customWidth="1"/>
    <col min="1301" max="1536" width="9" style="3"/>
    <col min="1537" max="1537" width="5" style="3" customWidth="1"/>
    <col min="1538" max="1538" width="20.85546875" style="3" customWidth="1"/>
    <col min="1539" max="1539" width="9" style="3"/>
    <col min="1540" max="1556" width="9.140625" style="3" customWidth="1"/>
    <col min="1557" max="1792" width="9" style="3"/>
    <col min="1793" max="1793" width="5" style="3" customWidth="1"/>
    <col min="1794" max="1794" width="20.85546875" style="3" customWidth="1"/>
    <col min="1795" max="1795" width="9" style="3"/>
    <col min="1796" max="1812" width="9.140625" style="3" customWidth="1"/>
    <col min="1813" max="2048" width="9" style="3"/>
    <col min="2049" max="2049" width="5" style="3" customWidth="1"/>
    <col min="2050" max="2050" width="20.85546875" style="3" customWidth="1"/>
    <col min="2051" max="2051" width="9" style="3"/>
    <col min="2052" max="2068" width="9.140625" style="3" customWidth="1"/>
    <col min="2069" max="2304" width="9" style="3"/>
    <col min="2305" max="2305" width="5" style="3" customWidth="1"/>
    <col min="2306" max="2306" width="20.85546875" style="3" customWidth="1"/>
    <col min="2307" max="2307" width="9" style="3"/>
    <col min="2308" max="2324" width="9.140625" style="3" customWidth="1"/>
    <col min="2325" max="2560" width="9" style="3"/>
    <col min="2561" max="2561" width="5" style="3" customWidth="1"/>
    <col min="2562" max="2562" width="20.85546875" style="3" customWidth="1"/>
    <col min="2563" max="2563" width="9" style="3"/>
    <col min="2564" max="2580" width="9.140625" style="3" customWidth="1"/>
    <col min="2581" max="2816" width="9" style="3"/>
    <col min="2817" max="2817" width="5" style="3" customWidth="1"/>
    <col min="2818" max="2818" width="20.85546875" style="3" customWidth="1"/>
    <col min="2819" max="2819" width="9" style="3"/>
    <col min="2820" max="2836" width="9.140625" style="3" customWidth="1"/>
    <col min="2837" max="3072" width="9" style="3"/>
    <col min="3073" max="3073" width="5" style="3" customWidth="1"/>
    <col min="3074" max="3074" width="20.85546875" style="3" customWidth="1"/>
    <col min="3075" max="3075" width="9" style="3"/>
    <col min="3076" max="3092" width="9.140625" style="3" customWidth="1"/>
    <col min="3093" max="3328" width="9" style="3"/>
    <col min="3329" max="3329" width="5" style="3" customWidth="1"/>
    <col min="3330" max="3330" width="20.85546875" style="3" customWidth="1"/>
    <col min="3331" max="3331" width="9" style="3"/>
    <col min="3332" max="3348" width="9.140625" style="3" customWidth="1"/>
    <col min="3349" max="3584" width="9" style="3"/>
    <col min="3585" max="3585" width="5" style="3" customWidth="1"/>
    <col min="3586" max="3586" width="20.85546875" style="3" customWidth="1"/>
    <col min="3587" max="3587" width="9" style="3"/>
    <col min="3588" max="3604" width="9.140625" style="3" customWidth="1"/>
    <col min="3605" max="3840" width="9" style="3"/>
    <col min="3841" max="3841" width="5" style="3" customWidth="1"/>
    <col min="3842" max="3842" width="20.85546875" style="3" customWidth="1"/>
    <col min="3843" max="3843" width="9" style="3"/>
    <col min="3844" max="3860" width="9.140625" style="3" customWidth="1"/>
    <col min="3861" max="4096" width="9" style="3"/>
    <col min="4097" max="4097" width="5" style="3" customWidth="1"/>
    <col min="4098" max="4098" width="20.85546875" style="3" customWidth="1"/>
    <col min="4099" max="4099" width="9" style="3"/>
    <col min="4100" max="4116" width="9.140625" style="3" customWidth="1"/>
    <col min="4117" max="4352" width="9" style="3"/>
    <col min="4353" max="4353" width="5" style="3" customWidth="1"/>
    <col min="4354" max="4354" width="20.85546875" style="3" customWidth="1"/>
    <col min="4355" max="4355" width="9" style="3"/>
    <col min="4356" max="4372" width="9.140625" style="3" customWidth="1"/>
    <col min="4373" max="4608" width="9" style="3"/>
    <col min="4609" max="4609" width="5" style="3" customWidth="1"/>
    <col min="4610" max="4610" width="20.85546875" style="3" customWidth="1"/>
    <col min="4611" max="4611" width="9" style="3"/>
    <col min="4612" max="4628" width="9.140625" style="3" customWidth="1"/>
    <col min="4629" max="4864" width="9" style="3"/>
    <col min="4865" max="4865" width="5" style="3" customWidth="1"/>
    <col min="4866" max="4866" width="20.85546875" style="3" customWidth="1"/>
    <col min="4867" max="4867" width="9" style="3"/>
    <col min="4868" max="4884" width="9.140625" style="3" customWidth="1"/>
    <col min="4885" max="5120" width="9" style="3"/>
    <col min="5121" max="5121" width="5" style="3" customWidth="1"/>
    <col min="5122" max="5122" width="20.85546875" style="3" customWidth="1"/>
    <col min="5123" max="5123" width="9" style="3"/>
    <col min="5124" max="5140" width="9.140625" style="3" customWidth="1"/>
    <col min="5141" max="5376" width="9" style="3"/>
    <col min="5377" max="5377" width="5" style="3" customWidth="1"/>
    <col min="5378" max="5378" width="20.85546875" style="3" customWidth="1"/>
    <col min="5379" max="5379" width="9" style="3"/>
    <col min="5380" max="5396" width="9.140625" style="3" customWidth="1"/>
    <col min="5397" max="5632" width="9" style="3"/>
    <col min="5633" max="5633" width="5" style="3" customWidth="1"/>
    <col min="5634" max="5634" width="20.85546875" style="3" customWidth="1"/>
    <col min="5635" max="5635" width="9" style="3"/>
    <col min="5636" max="5652" width="9.140625" style="3" customWidth="1"/>
    <col min="5653" max="5888" width="9" style="3"/>
    <col min="5889" max="5889" width="5" style="3" customWidth="1"/>
    <col min="5890" max="5890" width="20.85546875" style="3" customWidth="1"/>
    <col min="5891" max="5891" width="9" style="3"/>
    <col min="5892" max="5908" width="9.140625" style="3" customWidth="1"/>
    <col min="5909" max="6144" width="9" style="3"/>
    <col min="6145" max="6145" width="5" style="3" customWidth="1"/>
    <col min="6146" max="6146" width="20.85546875" style="3" customWidth="1"/>
    <col min="6147" max="6147" width="9" style="3"/>
    <col min="6148" max="6164" width="9.140625" style="3" customWidth="1"/>
    <col min="6165" max="6400" width="9" style="3"/>
    <col min="6401" max="6401" width="5" style="3" customWidth="1"/>
    <col min="6402" max="6402" width="20.85546875" style="3" customWidth="1"/>
    <col min="6403" max="6403" width="9" style="3"/>
    <col min="6404" max="6420" width="9.140625" style="3" customWidth="1"/>
    <col min="6421" max="6656" width="9" style="3"/>
    <col min="6657" max="6657" width="5" style="3" customWidth="1"/>
    <col min="6658" max="6658" width="20.85546875" style="3" customWidth="1"/>
    <col min="6659" max="6659" width="9" style="3"/>
    <col min="6660" max="6676" width="9.140625" style="3" customWidth="1"/>
    <col min="6677" max="6912" width="9" style="3"/>
    <col min="6913" max="6913" width="5" style="3" customWidth="1"/>
    <col min="6914" max="6914" width="20.85546875" style="3" customWidth="1"/>
    <col min="6915" max="6915" width="9" style="3"/>
    <col min="6916" max="6932" width="9.140625" style="3" customWidth="1"/>
    <col min="6933" max="7168" width="9" style="3"/>
    <col min="7169" max="7169" width="5" style="3" customWidth="1"/>
    <col min="7170" max="7170" width="20.85546875" style="3" customWidth="1"/>
    <col min="7171" max="7171" width="9" style="3"/>
    <col min="7172" max="7188" width="9.140625" style="3" customWidth="1"/>
    <col min="7189" max="7424" width="9" style="3"/>
    <col min="7425" max="7425" width="5" style="3" customWidth="1"/>
    <col min="7426" max="7426" width="20.85546875" style="3" customWidth="1"/>
    <col min="7427" max="7427" width="9" style="3"/>
    <col min="7428" max="7444" width="9.140625" style="3" customWidth="1"/>
    <col min="7445" max="7680" width="9" style="3"/>
    <col min="7681" max="7681" width="5" style="3" customWidth="1"/>
    <col min="7682" max="7682" width="20.85546875" style="3" customWidth="1"/>
    <col min="7683" max="7683" width="9" style="3"/>
    <col min="7684" max="7700" width="9.140625" style="3" customWidth="1"/>
    <col min="7701" max="7936" width="9" style="3"/>
    <col min="7937" max="7937" width="5" style="3" customWidth="1"/>
    <col min="7938" max="7938" width="20.85546875" style="3" customWidth="1"/>
    <col min="7939" max="7939" width="9" style="3"/>
    <col min="7940" max="7956" width="9.140625" style="3" customWidth="1"/>
    <col min="7957" max="8192" width="9" style="3"/>
    <col min="8193" max="8193" width="5" style="3" customWidth="1"/>
    <col min="8194" max="8194" width="20.85546875" style="3" customWidth="1"/>
    <col min="8195" max="8195" width="9" style="3"/>
    <col min="8196" max="8212" width="9.140625" style="3" customWidth="1"/>
    <col min="8213" max="8448" width="9" style="3"/>
    <col min="8449" max="8449" width="5" style="3" customWidth="1"/>
    <col min="8450" max="8450" width="20.85546875" style="3" customWidth="1"/>
    <col min="8451" max="8451" width="9" style="3"/>
    <col min="8452" max="8468" width="9.140625" style="3" customWidth="1"/>
    <col min="8469" max="8704" width="9" style="3"/>
    <col min="8705" max="8705" width="5" style="3" customWidth="1"/>
    <col min="8706" max="8706" width="20.85546875" style="3" customWidth="1"/>
    <col min="8707" max="8707" width="9" style="3"/>
    <col min="8708" max="8724" width="9.140625" style="3" customWidth="1"/>
    <col min="8725" max="8960" width="9" style="3"/>
    <col min="8961" max="8961" width="5" style="3" customWidth="1"/>
    <col min="8962" max="8962" width="20.85546875" style="3" customWidth="1"/>
    <col min="8963" max="8963" width="9" style="3"/>
    <col min="8964" max="8980" width="9.140625" style="3" customWidth="1"/>
    <col min="8981" max="9216" width="9" style="3"/>
    <col min="9217" max="9217" width="5" style="3" customWidth="1"/>
    <col min="9218" max="9218" width="20.85546875" style="3" customWidth="1"/>
    <col min="9219" max="9219" width="9" style="3"/>
    <col min="9220" max="9236" width="9.140625" style="3" customWidth="1"/>
    <col min="9237" max="9472" width="9" style="3"/>
    <col min="9473" max="9473" width="5" style="3" customWidth="1"/>
    <col min="9474" max="9474" width="20.85546875" style="3" customWidth="1"/>
    <col min="9475" max="9475" width="9" style="3"/>
    <col min="9476" max="9492" width="9.140625" style="3" customWidth="1"/>
    <col min="9493" max="9728" width="9" style="3"/>
    <col min="9729" max="9729" width="5" style="3" customWidth="1"/>
    <col min="9730" max="9730" width="20.85546875" style="3" customWidth="1"/>
    <col min="9731" max="9731" width="9" style="3"/>
    <col min="9732" max="9748" width="9.140625" style="3" customWidth="1"/>
    <col min="9749" max="9984" width="9" style="3"/>
    <col min="9985" max="9985" width="5" style="3" customWidth="1"/>
    <col min="9986" max="9986" width="20.85546875" style="3" customWidth="1"/>
    <col min="9987" max="9987" width="9" style="3"/>
    <col min="9988" max="10004" width="9.140625" style="3" customWidth="1"/>
    <col min="10005" max="10240" width="9" style="3"/>
    <col min="10241" max="10241" width="5" style="3" customWidth="1"/>
    <col min="10242" max="10242" width="20.85546875" style="3" customWidth="1"/>
    <col min="10243" max="10243" width="9" style="3"/>
    <col min="10244" max="10260" width="9.140625" style="3" customWidth="1"/>
    <col min="10261" max="10496" width="9" style="3"/>
    <col min="10497" max="10497" width="5" style="3" customWidth="1"/>
    <col min="10498" max="10498" width="20.85546875" style="3" customWidth="1"/>
    <col min="10499" max="10499" width="9" style="3"/>
    <col min="10500" max="10516" width="9.140625" style="3" customWidth="1"/>
    <col min="10517" max="10752" width="9" style="3"/>
    <col min="10753" max="10753" width="5" style="3" customWidth="1"/>
    <col min="10754" max="10754" width="20.85546875" style="3" customWidth="1"/>
    <col min="10755" max="10755" width="9" style="3"/>
    <col min="10756" max="10772" width="9.140625" style="3" customWidth="1"/>
    <col min="10773" max="11008" width="9" style="3"/>
    <col min="11009" max="11009" width="5" style="3" customWidth="1"/>
    <col min="11010" max="11010" width="20.85546875" style="3" customWidth="1"/>
    <col min="11011" max="11011" width="9" style="3"/>
    <col min="11012" max="11028" width="9.140625" style="3" customWidth="1"/>
    <col min="11029" max="11264" width="9" style="3"/>
    <col min="11265" max="11265" width="5" style="3" customWidth="1"/>
    <col min="11266" max="11266" width="20.85546875" style="3" customWidth="1"/>
    <col min="11267" max="11267" width="9" style="3"/>
    <col min="11268" max="11284" width="9.140625" style="3" customWidth="1"/>
    <col min="11285" max="11520" width="9" style="3"/>
    <col min="11521" max="11521" width="5" style="3" customWidth="1"/>
    <col min="11522" max="11522" width="20.85546875" style="3" customWidth="1"/>
    <col min="11523" max="11523" width="9" style="3"/>
    <col min="11524" max="11540" width="9.140625" style="3" customWidth="1"/>
    <col min="11541" max="11776" width="9" style="3"/>
    <col min="11777" max="11777" width="5" style="3" customWidth="1"/>
    <col min="11778" max="11778" width="20.85546875" style="3" customWidth="1"/>
    <col min="11779" max="11779" width="9" style="3"/>
    <col min="11780" max="11796" width="9.140625" style="3" customWidth="1"/>
    <col min="11797" max="12032" width="9" style="3"/>
    <col min="12033" max="12033" width="5" style="3" customWidth="1"/>
    <col min="12034" max="12034" width="20.85546875" style="3" customWidth="1"/>
    <col min="12035" max="12035" width="9" style="3"/>
    <col min="12036" max="12052" width="9.140625" style="3" customWidth="1"/>
    <col min="12053" max="12288" width="9" style="3"/>
    <col min="12289" max="12289" width="5" style="3" customWidth="1"/>
    <col min="12290" max="12290" width="20.85546875" style="3" customWidth="1"/>
    <col min="12291" max="12291" width="9" style="3"/>
    <col min="12292" max="12308" width="9.140625" style="3" customWidth="1"/>
    <col min="12309" max="12544" width="9" style="3"/>
    <col min="12545" max="12545" width="5" style="3" customWidth="1"/>
    <col min="12546" max="12546" width="20.85546875" style="3" customWidth="1"/>
    <col min="12547" max="12547" width="9" style="3"/>
    <col min="12548" max="12564" width="9.140625" style="3" customWidth="1"/>
    <col min="12565" max="12800" width="9" style="3"/>
    <col min="12801" max="12801" width="5" style="3" customWidth="1"/>
    <col min="12802" max="12802" width="20.85546875" style="3" customWidth="1"/>
    <col min="12803" max="12803" width="9" style="3"/>
    <col min="12804" max="12820" width="9.140625" style="3" customWidth="1"/>
    <col min="12821" max="13056" width="9" style="3"/>
    <col min="13057" max="13057" width="5" style="3" customWidth="1"/>
    <col min="13058" max="13058" width="20.85546875" style="3" customWidth="1"/>
    <col min="13059" max="13059" width="9" style="3"/>
    <col min="13060" max="13076" width="9.140625" style="3" customWidth="1"/>
    <col min="13077" max="13312" width="9" style="3"/>
    <col min="13313" max="13313" width="5" style="3" customWidth="1"/>
    <col min="13314" max="13314" width="20.85546875" style="3" customWidth="1"/>
    <col min="13315" max="13315" width="9" style="3"/>
    <col min="13316" max="13332" width="9.140625" style="3" customWidth="1"/>
    <col min="13333" max="13568" width="9" style="3"/>
    <col min="13569" max="13569" width="5" style="3" customWidth="1"/>
    <col min="13570" max="13570" width="20.85546875" style="3" customWidth="1"/>
    <col min="13571" max="13571" width="9" style="3"/>
    <col min="13572" max="13588" width="9.140625" style="3" customWidth="1"/>
    <col min="13589" max="13824" width="9" style="3"/>
    <col min="13825" max="13825" width="5" style="3" customWidth="1"/>
    <col min="13826" max="13826" width="20.85546875" style="3" customWidth="1"/>
    <col min="13827" max="13827" width="9" style="3"/>
    <col min="13828" max="13844" width="9.140625" style="3" customWidth="1"/>
    <col min="13845" max="14080" width="9" style="3"/>
    <col min="14081" max="14081" width="5" style="3" customWidth="1"/>
    <col min="14082" max="14082" width="20.85546875" style="3" customWidth="1"/>
    <col min="14083" max="14083" width="9" style="3"/>
    <col min="14084" max="14100" width="9.140625" style="3" customWidth="1"/>
    <col min="14101" max="14336" width="9" style="3"/>
    <col min="14337" max="14337" width="5" style="3" customWidth="1"/>
    <col min="14338" max="14338" width="20.85546875" style="3" customWidth="1"/>
    <col min="14339" max="14339" width="9" style="3"/>
    <col min="14340" max="14356" width="9.140625" style="3" customWidth="1"/>
    <col min="14357" max="14592" width="9" style="3"/>
    <col min="14593" max="14593" width="5" style="3" customWidth="1"/>
    <col min="14594" max="14594" width="20.85546875" style="3" customWidth="1"/>
    <col min="14595" max="14595" width="9" style="3"/>
    <col min="14596" max="14612" width="9.140625" style="3" customWidth="1"/>
    <col min="14613" max="14848" width="9" style="3"/>
    <col min="14849" max="14849" width="5" style="3" customWidth="1"/>
    <col min="14850" max="14850" width="20.85546875" style="3" customWidth="1"/>
    <col min="14851" max="14851" width="9" style="3"/>
    <col min="14852" max="14868" width="9.140625" style="3" customWidth="1"/>
    <col min="14869" max="15104" width="9" style="3"/>
    <col min="15105" max="15105" width="5" style="3" customWidth="1"/>
    <col min="15106" max="15106" width="20.85546875" style="3" customWidth="1"/>
    <col min="15107" max="15107" width="9" style="3"/>
    <col min="15108" max="15124" width="9.140625" style="3" customWidth="1"/>
    <col min="15125" max="15360" width="9" style="3"/>
    <col min="15361" max="15361" width="5" style="3" customWidth="1"/>
    <col min="15362" max="15362" width="20.85546875" style="3" customWidth="1"/>
    <col min="15363" max="15363" width="9" style="3"/>
    <col min="15364" max="15380" width="9.140625" style="3" customWidth="1"/>
    <col min="15381" max="15616" width="9" style="3"/>
    <col min="15617" max="15617" width="5" style="3" customWidth="1"/>
    <col min="15618" max="15618" width="20.85546875" style="3" customWidth="1"/>
    <col min="15619" max="15619" width="9" style="3"/>
    <col min="15620" max="15636" width="9.140625" style="3" customWidth="1"/>
    <col min="15637" max="15872" width="9" style="3"/>
    <col min="15873" max="15873" width="5" style="3" customWidth="1"/>
    <col min="15874" max="15874" width="20.85546875" style="3" customWidth="1"/>
    <col min="15875" max="15875" width="9" style="3"/>
    <col min="15876" max="15892" width="9.140625" style="3" customWidth="1"/>
    <col min="15893" max="16128" width="9" style="3"/>
    <col min="16129" max="16129" width="5" style="3" customWidth="1"/>
    <col min="16130" max="16130" width="20.85546875" style="3" customWidth="1"/>
    <col min="16131" max="16131" width="9" style="3"/>
    <col min="16132" max="16148" width="9.140625" style="3" customWidth="1"/>
    <col min="16149" max="16384" width="9" style="3"/>
  </cols>
  <sheetData>
    <row r="1" spans="1:22" ht="34.5" thickBot="1" x14ac:dyDescent="0.3">
      <c r="A1" s="170" t="s">
        <v>69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2"/>
      <c r="U1" s="1"/>
      <c r="V1" s="1"/>
    </row>
    <row r="2" spans="1:22" ht="192" customHeight="1" thickBot="1" x14ac:dyDescent="0.3">
      <c r="A2" s="91" t="s">
        <v>0</v>
      </c>
      <c r="B2" s="5" t="s">
        <v>1</v>
      </c>
      <c r="C2" s="6" t="s">
        <v>2</v>
      </c>
      <c r="D2" s="7" t="s">
        <v>70</v>
      </c>
      <c r="E2" s="8" t="s">
        <v>101</v>
      </c>
      <c r="F2" s="7" t="s">
        <v>102</v>
      </c>
      <c r="G2" s="7" t="s">
        <v>81</v>
      </c>
      <c r="H2" s="7" t="s">
        <v>96</v>
      </c>
      <c r="I2" s="7" t="s">
        <v>95</v>
      </c>
      <c r="J2" s="8" t="s">
        <v>126</v>
      </c>
      <c r="K2" s="8" t="s">
        <v>117</v>
      </c>
      <c r="L2" s="8"/>
      <c r="M2" s="8"/>
      <c r="N2" s="8"/>
      <c r="O2" s="8"/>
      <c r="P2" s="8"/>
      <c r="Q2" s="8"/>
      <c r="R2" s="7"/>
      <c r="S2" s="149"/>
      <c r="T2" s="9" t="s">
        <v>3</v>
      </c>
      <c r="U2" s="10"/>
      <c r="V2" s="10"/>
    </row>
    <row r="3" spans="1:22" x14ac:dyDescent="0.25">
      <c r="A3" s="150" t="s">
        <v>4</v>
      </c>
      <c r="B3" s="138" t="s">
        <v>98</v>
      </c>
      <c r="C3" s="32" t="s">
        <v>25</v>
      </c>
      <c r="D3" s="142"/>
      <c r="E3" s="25"/>
      <c r="F3" s="25"/>
      <c r="G3" s="25"/>
      <c r="H3" s="25">
        <f>100-(35.03-35.03)/35.03*50</f>
        <v>100</v>
      </c>
      <c r="I3" s="25">
        <f>100-(66.27-48.13)/48.13*50</f>
        <v>81.155204654061919</v>
      </c>
      <c r="J3" s="25">
        <f>100-(17.42-17.08)/17.08*50</f>
        <v>99.004683840749408</v>
      </c>
      <c r="K3" s="25">
        <f>100-(31.35-25.07)/25.07*50</f>
        <v>87.47506980454726</v>
      </c>
      <c r="L3" s="25"/>
      <c r="M3" s="58"/>
      <c r="N3" s="25"/>
      <c r="O3" s="25"/>
      <c r="P3" s="25"/>
      <c r="Q3" s="25"/>
      <c r="R3" s="58"/>
      <c r="S3" s="72"/>
      <c r="T3" s="73">
        <f t="shared" ref="T3:T11" si="0">D3+E3+F3+G3+H3+I3+J3+K3+L3+M3+N3+O3+P3+Q3+R3+S3</f>
        <v>367.63495829935857</v>
      </c>
    </row>
    <row r="4" spans="1:22" x14ac:dyDescent="0.25">
      <c r="A4" s="92" t="s">
        <v>6</v>
      </c>
      <c r="B4" s="23" t="s">
        <v>122</v>
      </c>
      <c r="C4" s="24" t="s">
        <v>123</v>
      </c>
      <c r="D4" s="151"/>
      <c r="E4" s="18"/>
      <c r="F4" s="18"/>
      <c r="G4" s="18"/>
      <c r="H4" s="58"/>
      <c r="I4" s="58"/>
      <c r="J4" s="25">
        <f>100-(17.08-17.08)/17.08*50</f>
        <v>100</v>
      </c>
      <c r="K4" s="25">
        <f>100-(25.07-25.07)/25.07*50</f>
        <v>100</v>
      </c>
      <c r="L4" s="18"/>
      <c r="M4" s="21"/>
      <c r="N4" s="18"/>
      <c r="O4" s="18"/>
      <c r="P4" s="18"/>
      <c r="Q4" s="18"/>
      <c r="R4" s="21"/>
      <c r="S4" s="29"/>
      <c r="T4" s="73">
        <f t="shared" si="0"/>
        <v>200</v>
      </c>
    </row>
    <row r="5" spans="1:22" x14ac:dyDescent="0.25">
      <c r="A5" s="92" t="s">
        <v>8</v>
      </c>
      <c r="B5" s="23" t="s">
        <v>99</v>
      </c>
      <c r="C5" s="24" t="s">
        <v>85</v>
      </c>
      <c r="D5" s="151"/>
      <c r="E5" s="18"/>
      <c r="F5" s="18"/>
      <c r="G5" s="18"/>
      <c r="H5" s="25">
        <f>100-(38.98-35.03)/35.03*50</f>
        <v>94.361975449614619</v>
      </c>
      <c r="I5" s="25">
        <f>100-(48.13-48.13)/48.13*50</f>
        <v>100</v>
      </c>
      <c r="J5" s="58"/>
      <c r="K5" s="21"/>
      <c r="L5" s="18"/>
      <c r="M5" s="21"/>
      <c r="N5" s="18"/>
      <c r="O5" s="18"/>
      <c r="P5" s="18"/>
      <c r="Q5" s="18"/>
      <c r="R5" s="21"/>
      <c r="S5" s="29"/>
      <c r="T5" s="73">
        <f t="shared" si="0"/>
        <v>194.36197544961462</v>
      </c>
    </row>
    <row r="6" spans="1:22" x14ac:dyDescent="0.25">
      <c r="A6" s="92" t="s">
        <v>11</v>
      </c>
      <c r="B6" s="23" t="s">
        <v>76</v>
      </c>
      <c r="C6" s="24" t="s">
        <v>77</v>
      </c>
      <c r="D6" s="151"/>
      <c r="E6" s="18">
        <f>100-(94.37-75.27)/75.27*50</f>
        <v>87.312342234622022</v>
      </c>
      <c r="F6" s="18"/>
      <c r="G6" s="18"/>
      <c r="H6" s="58"/>
      <c r="I6" s="58"/>
      <c r="J6" s="25">
        <f>100-(19.32-17.08)/17.08*50</f>
        <v>93.442622950819668</v>
      </c>
      <c r="K6" s="58"/>
      <c r="L6" s="18"/>
      <c r="M6" s="18"/>
      <c r="N6" s="18"/>
      <c r="O6" s="21"/>
      <c r="P6" s="18"/>
      <c r="Q6" s="21"/>
      <c r="R6" s="21"/>
      <c r="S6" s="83"/>
      <c r="T6" s="73">
        <f t="shared" si="0"/>
        <v>180.75496518544168</v>
      </c>
    </row>
    <row r="7" spans="1:22" x14ac:dyDescent="0.25">
      <c r="A7" s="92" t="s">
        <v>13</v>
      </c>
      <c r="B7" s="23" t="s">
        <v>75</v>
      </c>
      <c r="C7" s="24" t="s">
        <v>77</v>
      </c>
      <c r="D7" s="151"/>
      <c r="E7" s="18">
        <f>100-(75.27-75.27)/75.27*50</f>
        <v>100</v>
      </c>
      <c r="F7" s="18"/>
      <c r="G7" s="18"/>
      <c r="H7" s="58"/>
      <c r="I7" s="58"/>
      <c r="J7" s="25">
        <f>100-(30.22-17.08)/17.08*50</f>
        <v>61.53395784543325</v>
      </c>
      <c r="K7" s="21"/>
      <c r="L7" s="18"/>
      <c r="M7" s="21"/>
      <c r="N7" s="18"/>
      <c r="O7" s="18"/>
      <c r="P7" s="18"/>
      <c r="Q7" s="18"/>
      <c r="R7" s="21"/>
      <c r="S7" s="29"/>
      <c r="T7" s="73">
        <f t="shared" si="0"/>
        <v>161.53395784543324</v>
      </c>
    </row>
    <row r="8" spans="1:22" x14ac:dyDescent="0.25">
      <c r="A8" s="92" t="s">
        <v>15</v>
      </c>
      <c r="B8" s="23" t="s">
        <v>100</v>
      </c>
      <c r="C8" s="24" t="s">
        <v>42</v>
      </c>
      <c r="D8" s="151"/>
      <c r="E8" s="18"/>
      <c r="F8" s="18"/>
      <c r="G8" s="18"/>
      <c r="H8" s="25">
        <f>100-(60.77-35.03)/35.03*50</f>
        <v>63.260062803311442</v>
      </c>
      <c r="I8" s="58"/>
      <c r="J8" s="25">
        <f>100-(40.48-17.08)/17.08*50</f>
        <v>31.498829039812648</v>
      </c>
      <c r="K8" s="18">
        <f>100-(51.23-25.07)/25.07*50</f>
        <v>47.826086956521749</v>
      </c>
      <c r="L8" s="18"/>
      <c r="M8" s="21"/>
      <c r="N8" s="18"/>
      <c r="O8" s="18"/>
      <c r="P8" s="18"/>
      <c r="Q8" s="18"/>
      <c r="R8" s="21"/>
      <c r="S8" s="29"/>
      <c r="T8" s="73">
        <f t="shared" si="0"/>
        <v>142.58497879964585</v>
      </c>
    </row>
    <row r="9" spans="1:22" x14ac:dyDescent="0.25">
      <c r="A9" s="92" t="s">
        <v>18</v>
      </c>
      <c r="B9" s="23" t="s">
        <v>124</v>
      </c>
      <c r="C9" s="24" t="s">
        <v>77</v>
      </c>
      <c r="D9" s="151"/>
      <c r="E9" s="18"/>
      <c r="F9" s="18"/>
      <c r="G9" s="18"/>
      <c r="H9" s="58"/>
      <c r="I9" s="58"/>
      <c r="J9" s="18">
        <f>100-(20.85-17.08)/17.08*50</f>
        <v>88.963700234192032</v>
      </c>
      <c r="K9" s="58"/>
      <c r="L9" s="18"/>
      <c r="M9" s="21"/>
      <c r="N9" s="18"/>
      <c r="O9" s="18"/>
      <c r="P9" s="18"/>
      <c r="Q9" s="18"/>
      <c r="R9" s="21"/>
      <c r="S9" s="29"/>
      <c r="T9" s="73">
        <f t="shared" si="0"/>
        <v>88.963700234192032</v>
      </c>
    </row>
    <row r="10" spans="1:22" x14ac:dyDescent="0.25">
      <c r="A10" s="92" t="s">
        <v>20</v>
      </c>
      <c r="B10" s="23" t="s">
        <v>125</v>
      </c>
      <c r="C10" s="24" t="s">
        <v>77</v>
      </c>
      <c r="D10" s="151"/>
      <c r="E10" s="18"/>
      <c r="F10" s="18"/>
      <c r="G10" s="18"/>
      <c r="H10" s="58"/>
      <c r="I10" s="21"/>
      <c r="J10" s="25">
        <f>100-(25-17.08)/17.08*50</f>
        <v>76.814988290398119</v>
      </c>
      <c r="K10" s="21"/>
      <c r="L10" s="18"/>
      <c r="M10" s="21"/>
      <c r="N10" s="18"/>
      <c r="O10" s="18"/>
      <c r="P10" s="18"/>
      <c r="Q10" s="18"/>
      <c r="R10" s="21"/>
      <c r="S10" s="29"/>
      <c r="T10" s="73">
        <f t="shared" si="0"/>
        <v>76.814988290398119</v>
      </c>
    </row>
    <row r="11" spans="1:22" ht="15.75" thickBot="1" x14ac:dyDescent="0.3">
      <c r="A11" s="93" t="s">
        <v>23</v>
      </c>
      <c r="B11" s="40" t="s">
        <v>142</v>
      </c>
      <c r="C11" s="41" t="s">
        <v>19</v>
      </c>
      <c r="D11" s="76"/>
      <c r="E11" s="43"/>
      <c r="F11" s="43"/>
      <c r="G11" s="43"/>
      <c r="H11" s="63"/>
      <c r="I11" s="63"/>
      <c r="J11" s="63"/>
      <c r="K11" s="43">
        <f>100-(54.33-25.07)/25.07*50</f>
        <v>41.643398484244123</v>
      </c>
      <c r="L11" s="43"/>
      <c r="M11" s="63"/>
      <c r="N11" s="43"/>
      <c r="O11" s="43"/>
      <c r="P11" s="43"/>
      <c r="Q11" s="43"/>
      <c r="R11" s="63"/>
      <c r="S11" s="47"/>
      <c r="T11" s="48">
        <f t="shared" si="0"/>
        <v>41.643398484244123</v>
      </c>
    </row>
    <row r="12" spans="1:22" x14ac:dyDescent="0.25">
      <c r="A12" s="84"/>
      <c r="B12" s="2"/>
      <c r="C12" s="2"/>
      <c r="D12" s="53"/>
      <c r="E12" s="53"/>
      <c r="F12" s="53"/>
      <c r="G12" s="53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85"/>
      <c r="T12" s="52"/>
    </row>
    <row r="13" spans="1:22" x14ac:dyDescent="0.25">
      <c r="A13" s="84"/>
      <c r="B13" s="2"/>
      <c r="C13" s="2"/>
      <c r="D13" s="53"/>
      <c r="E13" s="53"/>
      <c r="F13" s="53"/>
      <c r="G13" s="53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85"/>
      <c r="T13" s="52"/>
    </row>
    <row r="14" spans="1:22" x14ac:dyDescent="0.25">
      <c r="A14" s="2"/>
      <c r="B14" s="2"/>
      <c r="C14" s="2"/>
      <c r="D14" s="53"/>
      <c r="E14" s="53"/>
      <c r="F14" s="53"/>
      <c r="G14" s="53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49"/>
    </row>
    <row r="15" spans="1:22" s="54" customFormat="1" x14ac:dyDescent="0.25">
      <c r="A15" s="54" t="s">
        <v>36</v>
      </c>
    </row>
    <row r="16" spans="1:22" s="55" customFormat="1" x14ac:dyDescent="0.25">
      <c r="A16" s="55" t="s">
        <v>37</v>
      </c>
    </row>
  </sheetData>
  <sortState ref="B3:T11">
    <sortCondition descending="1" ref="T3"/>
  </sortState>
  <mergeCells count="1">
    <mergeCell ref="A1:T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workbookViewId="0">
      <selection activeCell="K3" sqref="K3"/>
    </sheetView>
  </sheetViews>
  <sheetFormatPr defaultColWidth="9" defaultRowHeight="15" x14ac:dyDescent="0.25"/>
  <cols>
    <col min="1" max="1" width="5.28515625" style="3" customWidth="1"/>
    <col min="2" max="2" width="20.5703125" style="3" customWidth="1"/>
    <col min="3" max="3" width="17.85546875" style="3" customWidth="1"/>
    <col min="4" max="5" width="9.140625" style="3" customWidth="1"/>
    <col min="6" max="7" width="9.140625" style="56" customWidth="1"/>
    <col min="8" max="20" width="9.140625" style="3" customWidth="1"/>
    <col min="21" max="29" width="9" style="2"/>
    <col min="30" max="256" width="9" style="3"/>
    <col min="257" max="257" width="5.28515625" style="3" customWidth="1"/>
    <col min="258" max="258" width="20.5703125" style="3" customWidth="1"/>
    <col min="259" max="259" width="16.140625" style="3" customWidth="1"/>
    <col min="260" max="276" width="9.140625" style="3" customWidth="1"/>
    <col min="277" max="512" width="9" style="3"/>
    <col min="513" max="513" width="5.28515625" style="3" customWidth="1"/>
    <col min="514" max="514" width="20.5703125" style="3" customWidth="1"/>
    <col min="515" max="515" width="16.140625" style="3" customWidth="1"/>
    <col min="516" max="532" width="9.140625" style="3" customWidth="1"/>
    <col min="533" max="768" width="9" style="3"/>
    <col min="769" max="769" width="5.28515625" style="3" customWidth="1"/>
    <col min="770" max="770" width="20.5703125" style="3" customWidth="1"/>
    <col min="771" max="771" width="16.140625" style="3" customWidth="1"/>
    <col min="772" max="788" width="9.140625" style="3" customWidth="1"/>
    <col min="789" max="1024" width="9" style="3"/>
    <col min="1025" max="1025" width="5.28515625" style="3" customWidth="1"/>
    <col min="1026" max="1026" width="20.5703125" style="3" customWidth="1"/>
    <col min="1027" max="1027" width="16.140625" style="3" customWidth="1"/>
    <col min="1028" max="1044" width="9.140625" style="3" customWidth="1"/>
    <col min="1045" max="1280" width="9" style="3"/>
    <col min="1281" max="1281" width="5.28515625" style="3" customWidth="1"/>
    <col min="1282" max="1282" width="20.5703125" style="3" customWidth="1"/>
    <col min="1283" max="1283" width="16.140625" style="3" customWidth="1"/>
    <col min="1284" max="1300" width="9.140625" style="3" customWidth="1"/>
    <col min="1301" max="1536" width="9" style="3"/>
    <col min="1537" max="1537" width="5.28515625" style="3" customWidth="1"/>
    <col min="1538" max="1538" width="20.5703125" style="3" customWidth="1"/>
    <col min="1539" max="1539" width="16.140625" style="3" customWidth="1"/>
    <col min="1540" max="1556" width="9.140625" style="3" customWidth="1"/>
    <col min="1557" max="1792" width="9" style="3"/>
    <col min="1793" max="1793" width="5.28515625" style="3" customWidth="1"/>
    <col min="1794" max="1794" width="20.5703125" style="3" customWidth="1"/>
    <col min="1795" max="1795" width="16.140625" style="3" customWidth="1"/>
    <col min="1796" max="1812" width="9.140625" style="3" customWidth="1"/>
    <col min="1813" max="2048" width="9" style="3"/>
    <col min="2049" max="2049" width="5.28515625" style="3" customWidth="1"/>
    <col min="2050" max="2050" width="20.5703125" style="3" customWidth="1"/>
    <col min="2051" max="2051" width="16.140625" style="3" customWidth="1"/>
    <col min="2052" max="2068" width="9.140625" style="3" customWidth="1"/>
    <col min="2069" max="2304" width="9" style="3"/>
    <col min="2305" max="2305" width="5.28515625" style="3" customWidth="1"/>
    <col min="2306" max="2306" width="20.5703125" style="3" customWidth="1"/>
    <col min="2307" max="2307" width="16.140625" style="3" customWidth="1"/>
    <col min="2308" max="2324" width="9.140625" style="3" customWidth="1"/>
    <col min="2325" max="2560" width="9" style="3"/>
    <col min="2561" max="2561" width="5.28515625" style="3" customWidth="1"/>
    <col min="2562" max="2562" width="20.5703125" style="3" customWidth="1"/>
    <col min="2563" max="2563" width="16.140625" style="3" customWidth="1"/>
    <col min="2564" max="2580" width="9.140625" style="3" customWidth="1"/>
    <col min="2581" max="2816" width="9" style="3"/>
    <col min="2817" max="2817" width="5.28515625" style="3" customWidth="1"/>
    <col min="2818" max="2818" width="20.5703125" style="3" customWidth="1"/>
    <col min="2819" max="2819" width="16.140625" style="3" customWidth="1"/>
    <col min="2820" max="2836" width="9.140625" style="3" customWidth="1"/>
    <col min="2837" max="3072" width="9" style="3"/>
    <col min="3073" max="3073" width="5.28515625" style="3" customWidth="1"/>
    <col min="3074" max="3074" width="20.5703125" style="3" customWidth="1"/>
    <col min="3075" max="3075" width="16.140625" style="3" customWidth="1"/>
    <col min="3076" max="3092" width="9.140625" style="3" customWidth="1"/>
    <col min="3093" max="3328" width="9" style="3"/>
    <col min="3329" max="3329" width="5.28515625" style="3" customWidth="1"/>
    <col min="3330" max="3330" width="20.5703125" style="3" customWidth="1"/>
    <col min="3331" max="3331" width="16.140625" style="3" customWidth="1"/>
    <col min="3332" max="3348" width="9.140625" style="3" customWidth="1"/>
    <col min="3349" max="3584" width="9" style="3"/>
    <col min="3585" max="3585" width="5.28515625" style="3" customWidth="1"/>
    <col min="3586" max="3586" width="20.5703125" style="3" customWidth="1"/>
    <col min="3587" max="3587" width="16.140625" style="3" customWidth="1"/>
    <col min="3588" max="3604" width="9.140625" style="3" customWidth="1"/>
    <col min="3605" max="3840" width="9" style="3"/>
    <col min="3841" max="3841" width="5.28515625" style="3" customWidth="1"/>
    <col min="3842" max="3842" width="20.5703125" style="3" customWidth="1"/>
    <col min="3843" max="3843" width="16.140625" style="3" customWidth="1"/>
    <col min="3844" max="3860" width="9.140625" style="3" customWidth="1"/>
    <col min="3861" max="4096" width="9" style="3"/>
    <col min="4097" max="4097" width="5.28515625" style="3" customWidth="1"/>
    <col min="4098" max="4098" width="20.5703125" style="3" customWidth="1"/>
    <col min="4099" max="4099" width="16.140625" style="3" customWidth="1"/>
    <col min="4100" max="4116" width="9.140625" style="3" customWidth="1"/>
    <col min="4117" max="4352" width="9" style="3"/>
    <col min="4353" max="4353" width="5.28515625" style="3" customWidth="1"/>
    <col min="4354" max="4354" width="20.5703125" style="3" customWidth="1"/>
    <col min="4355" max="4355" width="16.140625" style="3" customWidth="1"/>
    <col min="4356" max="4372" width="9.140625" style="3" customWidth="1"/>
    <col min="4373" max="4608" width="9" style="3"/>
    <col min="4609" max="4609" width="5.28515625" style="3" customWidth="1"/>
    <col min="4610" max="4610" width="20.5703125" style="3" customWidth="1"/>
    <col min="4611" max="4611" width="16.140625" style="3" customWidth="1"/>
    <col min="4612" max="4628" width="9.140625" style="3" customWidth="1"/>
    <col min="4629" max="4864" width="9" style="3"/>
    <col min="4865" max="4865" width="5.28515625" style="3" customWidth="1"/>
    <col min="4866" max="4866" width="20.5703125" style="3" customWidth="1"/>
    <col min="4867" max="4867" width="16.140625" style="3" customWidth="1"/>
    <col min="4868" max="4884" width="9.140625" style="3" customWidth="1"/>
    <col min="4885" max="5120" width="9" style="3"/>
    <col min="5121" max="5121" width="5.28515625" style="3" customWidth="1"/>
    <col min="5122" max="5122" width="20.5703125" style="3" customWidth="1"/>
    <col min="5123" max="5123" width="16.140625" style="3" customWidth="1"/>
    <col min="5124" max="5140" width="9.140625" style="3" customWidth="1"/>
    <col min="5141" max="5376" width="9" style="3"/>
    <col min="5377" max="5377" width="5.28515625" style="3" customWidth="1"/>
    <col min="5378" max="5378" width="20.5703125" style="3" customWidth="1"/>
    <col min="5379" max="5379" width="16.140625" style="3" customWidth="1"/>
    <col min="5380" max="5396" width="9.140625" style="3" customWidth="1"/>
    <col min="5397" max="5632" width="9" style="3"/>
    <col min="5633" max="5633" width="5.28515625" style="3" customWidth="1"/>
    <col min="5634" max="5634" width="20.5703125" style="3" customWidth="1"/>
    <col min="5635" max="5635" width="16.140625" style="3" customWidth="1"/>
    <col min="5636" max="5652" width="9.140625" style="3" customWidth="1"/>
    <col min="5653" max="5888" width="9" style="3"/>
    <col min="5889" max="5889" width="5.28515625" style="3" customWidth="1"/>
    <col min="5890" max="5890" width="20.5703125" style="3" customWidth="1"/>
    <col min="5891" max="5891" width="16.140625" style="3" customWidth="1"/>
    <col min="5892" max="5908" width="9.140625" style="3" customWidth="1"/>
    <col min="5909" max="6144" width="9" style="3"/>
    <col min="6145" max="6145" width="5.28515625" style="3" customWidth="1"/>
    <col min="6146" max="6146" width="20.5703125" style="3" customWidth="1"/>
    <col min="6147" max="6147" width="16.140625" style="3" customWidth="1"/>
    <col min="6148" max="6164" width="9.140625" style="3" customWidth="1"/>
    <col min="6165" max="6400" width="9" style="3"/>
    <col min="6401" max="6401" width="5.28515625" style="3" customWidth="1"/>
    <col min="6402" max="6402" width="20.5703125" style="3" customWidth="1"/>
    <col min="6403" max="6403" width="16.140625" style="3" customWidth="1"/>
    <col min="6404" max="6420" width="9.140625" style="3" customWidth="1"/>
    <col min="6421" max="6656" width="9" style="3"/>
    <col min="6657" max="6657" width="5.28515625" style="3" customWidth="1"/>
    <col min="6658" max="6658" width="20.5703125" style="3" customWidth="1"/>
    <col min="6659" max="6659" width="16.140625" style="3" customWidth="1"/>
    <col min="6660" max="6676" width="9.140625" style="3" customWidth="1"/>
    <col min="6677" max="6912" width="9" style="3"/>
    <col min="6913" max="6913" width="5.28515625" style="3" customWidth="1"/>
    <col min="6914" max="6914" width="20.5703125" style="3" customWidth="1"/>
    <col min="6915" max="6915" width="16.140625" style="3" customWidth="1"/>
    <col min="6916" max="6932" width="9.140625" style="3" customWidth="1"/>
    <col min="6933" max="7168" width="9" style="3"/>
    <col min="7169" max="7169" width="5.28515625" style="3" customWidth="1"/>
    <col min="7170" max="7170" width="20.5703125" style="3" customWidth="1"/>
    <col min="7171" max="7171" width="16.140625" style="3" customWidth="1"/>
    <col min="7172" max="7188" width="9.140625" style="3" customWidth="1"/>
    <col min="7189" max="7424" width="9" style="3"/>
    <col min="7425" max="7425" width="5.28515625" style="3" customWidth="1"/>
    <col min="7426" max="7426" width="20.5703125" style="3" customWidth="1"/>
    <col min="7427" max="7427" width="16.140625" style="3" customWidth="1"/>
    <col min="7428" max="7444" width="9.140625" style="3" customWidth="1"/>
    <col min="7445" max="7680" width="9" style="3"/>
    <col min="7681" max="7681" width="5.28515625" style="3" customWidth="1"/>
    <col min="7682" max="7682" width="20.5703125" style="3" customWidth="1"/>
    <col min="7683" max="7683" width="16.140625" style="3" customWidth="1"/>
    <col min="7684" max="7700" width="9.140625" style="3" customWidth="1"/>
    <col min="7701" max="7936" width="9" style="3"/>
    <col min="7937" max="7937" width="5.28515625" style="3" customWidth="1"/>
    <col min="7938" max="7938" width="20.5703125" style="3" customWidth="1"/>
    <col min="7939" max="7939" width="16.140625" style="3" customWidth="1"/>
    <col min="7940" max="7956" width="9.140625" style="3" customWidth="1"/>
    <col min="7957" max="8192" width="9" style="3"/>
    <col min="8193" max="8193" width="5.28515625" style="3" customWidth="1"/>
    <col min="8194" max="8194" width="20.5703125" style="3" customWidth="1"/>
    <col min="8195" max="8195" width="16.140625" style="3" customWidth="1"/>
    <col min="8196" max="8212" width="9.140625" style="3" customWidth="1"/>
    <col min="8213" max="8448" width="9" style="3"/>
    <col min="8449" max="8449" width="5.28515625" style="3" customWidth="1"/>
    <col min="8450" max="8450" width="20.5703125" style="3" customWidth="1"/>
    <col min="8451" max="8451" width="16.140625" style="3" customWidth="1"/>
    <col min="8452" max="8468" width="9.140625" style="3" customWidth="1"/>
    <col min="8469" max="8704" width="9" style="3"/>
    <col min="8705" max="8705" width="5.28515625" style="3" customWidth="1"/>
    <col min="8706" max="8706" width="20.5703125" style="3" customWidth="1"/>
    <col min="8707" max="8707" width="16.140625" style="3" customWidth="1"/>
    <col min="8708" max="8724" width="9.140625" style="3" customWidth="1"/>
    <col min="8725" max="8960" width="9" style="3"/>
    <col min="8961" max="8961" width="5.28515625" style="3" customWidth="1"/>
    <col min="8962" max="8962" width="20.5703125" style="3" customWidth="1"/>
    <col min="8963" max="8963" width="16.140625" style="3" customWidth="1"/>
    <col min="8964" max="8980" width="9.140625" style="3" customWidth="1"/>
    <col min="8981" max="9216" width="9" style="3"/>
    <col min="9217" max="9217" width="5.28515625" style="3" customWidth="1"/>
    <col min="9218" max="9218" width="20.5703125" style="3" customWidth="1"/>
    <col min="9219" max="9219" width="16.140625" style="3" customWidth="1"/>
    <col min="9220" max="9236" width="9.140625" style="3" customWidth="1"/>
    <col min="9237" max="9472" width="9" style="3"/>
    <col min="9473" max="9473" width="5.28515625" style="3" customWidth="1"/>
    <col min="9474" max="9474" width="20.5703125" style="3" customWidth="1"/>
    <col min="9475" max="9475" width="16.140625" style="3" customWidth="1"/>
    <col min="9476" max="9492" width="9.140625" style="3" customWidth="1"/>
    <col min="9493" max="9728" width="9" style="3"/>
    <col min="9729" max="9729" width="5.28515625" style="3" customWidth="1"/>
    <col min="9730" max="9730" width="20.5703125" style="3" customWidth="1"/>
    <col min="9731" max="9731" width="16.140625" style="3" customWidth="1"/>
    <col min="9732" max="9748" width="9.140625" style="3" customWidth="1"/>
    <col min="9749" max="9984" width="9" style="3"/>
    <col min="9985" max="9985" width="5.28515625" style="3" customWidth="1"/>
    <col min="9986" max="9986" width="20.5703125" style="3" customWidth="1"/>
    <col min="9987" max="9987" width="16.140625" style="3" customWidth="1"/>
    <col min="9988" max="10004" width="9.140625" style="3" customWidth="1"/>
    <col min="10005" max="10240" width="9" style="3"/>
    <col min="10241" max="10241" width="5.28515625" style="3" customWidth="1"/>
    <col min="10242" max="10242" width="20.5703125" style="3" customWidth="1"/>
    <col min="10243" max="10243" width="16.140625" style="3" customWidth="1"/>
    <col min="10244" max="10260" width="9.140625" style="3" customWidth="1"/>
    <col min="10261" max="10496" width="9" style="3"/>
    <col min="10497" max="10497" width="5.28515625" style="3" customWidth="1"/>
    <col min="10498" max="10498" width="20.5703125" style="3" customWidth="1"/>
    <col min="10499" max="10499" width="16.140625" style="3" customWidth="1"/>
    <col min="10500" max="10516" width="9.140625" style="3" customWidth="1"/>
    <col min="10517" max="10752" width="9" style="3"/>
    <col min="10753" max="10753" width="5.28515625" style="3" customWidth="1"/>
    <col min="10754" max="10754" width="20.5703125" style="3" customWidth="1"/>
    <col min="10755" max="10755" width="16.140625" style="3" customWidth="1"/>
    <col min="10756" max="10772" width="9.140625" style="3" customWidth="1"/>
    <col min="10773" max="11008" width="9" style="3"/>
    <col min="11009" max="11009" width="5.28515625" style="3" customWidth="1"/>
    <col min="11010" max="11010" width="20.5703125" style="3" customWidth="1"/>
    <col min="11011" max="11011" width="16.140625" style="3" customWidth="1"/>
    <col min="11012" max="11028" width="9.140625" style="3" customWidth="1"/>
    <col min="11029" max="11264" width="9" style="3"/>
    <col min="11265" max="11265" width="5.28515625" style="3" customWidth="1"/>
    <col min="11266" max="11266" width="20.5703125" style="3" customWidth="1"/>
    <col min="11267" max="11267" width="16.140625" style="3" customWidth="1"/>
    <col min="11268" max="11284" width="9.140625" style="3" customWidth="1"/>
    <col min="11285" max="11520" width="9" style="3"/>
    <col min="11521" max="11521" width="5.28515625" style="3" customWidth="1"/>
    <col min="11522" max="11522" width="20.5703125" style="3" customWidth="1"/>
    <col min="11523" max="11523" width="16.140625" style="3" customWidth="1"/>
    <col min="11524" max="11540" width="9.140625" style="3" customWidth="1"/>
    <col min="11541" max="11776" width="9" style="3"/>
    <col min="11777" max="11777" width="5.28515625" style="3" customWidth="1"/>
    <col min="11778" max="11778" width="20.5703125" style="3" customWidth="1"/>
    <col min="11779" max="11779" width="16.140625" style="3" customWidth="1"/>
    <col min="11780" max="11796" width="9.140625" style="3" customWidth="1"/>
    <col min="11797" max="12032" width="9" style="3"/>
    <col min="12033" max="12033" width="5.28515625" style="3" customWidth="1"/>
    <col min="12034" max="12034" width="20.5703125" style="3" customWidth="1"/>
    <col min="12035" max="12035" width="16.140625" style="3" customWidth="1"/>
    <col min="12036" max="12052" width="9.140625" style="3" customWidth="1"/>
    <col min="12053" max="12288" width="9" style="3"/>
    <col min="12289" max="12289" width="5.28515625" style="3" customWidth="1"/>
    <col min="12290" max="12290" width="20.5703125" style="3" customWidth="1"/>
    <col min="12291" max="12291" width="16.140625" style="3" customWidth="1"/>
    <col min="12292" max="12308" width="9.140625" style="3" customWidth="1"/>
    <col min="12309" max="12544" width="9" style="3"/>
    <col min="12545" max="12545" width="5.28515625" style="3" customWidth="1"/>
    <col min="12546" max="12546" width="20.5703125" style="3" customWidth="1"/>
    <col min="12547" max="12547" width="16.140625" style="3" customWidth="1"/>
    <col min="12548" max="12564" width="9.140625" style="3" customWidth="1"/>
    <col min="12565" max="12800" width="9" style="3"/>
    <col min="12801" max="12801" width="5.28515625" style="3" customWidth="1"/>
    <col min="12802" max="12802" width="20.5703125" style="3" customWidth="1"/>
    <col min="12803" max="12803" width="16.140625" style="3" customWidth="1"/>
    <col min="12804" max="12820" width="9.140625" style="3" customWidth="1"/>
    <col min="12821" max="13056" width="9" style="3"/>
    <col min="13057" max="13057" width="5.28515625" style="3" customWidth="1"/>
    <col min="13058" max="13058" width="20.5703125" style="3" customWidth="1"/>
    <col min="13059" max="13059" width="16.140625" style="3" customWidth="1"/>
    <col min="13060" max="13076" width="9.140625" style="3" customWidth="1"/>
    <col min="13077" max="13312" width="9" style="3"/>
    <col min="13313" max="13313" width="5.28515625" style="3" customWidth="1"/>
    <col min="13314" max="13314" width="20.5703125" style="3" customWidth="1"/>
    <col min="13315" max="13315" width="16.140625" style="3" customWidth="1"/>
    <col min="13316" max="13332" width="9.140625" style="3" customWidth="1"/>
    <col min="13333" max="13568" width="9" style="3"/>
    <col min="13569" max="13569" width="5.28515625" style="3" customWidth="1"/>
    <col min="13570" max="13570" width="20.5703125" style="3" customWidth="1"/>
    <col min="13571" max="13571" width="16.140625" style="3" customWidth="1"/>
    <col min="13572" max="13588" width="9.140625" style="3" customWidth="1"/>
    <col min="13589" max="13824" width="9" style="3"/>
    <col min="13825" max="13825" width="5.28515625" style="3" customWidth="1"/>
    <col min="13826" max="13826" width="20.5703125" style="3" customWidth="1"/>
    <col min="13827" max="13827" width="16.140625" style="3" customWidth="1"/>
    <col min="13828" max="13844" width="9.140625" style="3" customWidth="1"/>
    <col min="13845" max="14080" width="9" style="3"/>
    <col min="14081" max="14081" width="5.28515625" style="3" customWidth="1"/>
    <col min="14082" max="14082" width="20.5703125" style="3" customWidth="1"/>
    <col min="14083" max="14083" width="16.140625" style="3" customWidth="1"/>
    <col min="14084" max="14100" width="9.140625" style="3" customWidth="1"/>
    <col min="14101" max="14336" width="9" style="3"/>
    <col min="14337" max="14337" width="5.28515625" style="3" customWidth="1"/>
    <col min="14338" max="14338" width="20.5703125" style="3" customWidth="1"/>
    <col min="14339" max="14339" width="16.140625" style="3" customWidth="1"/>
    <col min="14340" max="14356" width="9.140625" style="3" customWidth="1"/>
    <col min="14357" max="14592" width="9" style="3"/>
    <col min="14593" max="14593" width="5.28515625" style="3" customWidth="1"/>
    <col min="14594" max="14594" width="20.5703125" style="3" customWidth="1"/>
    <col min="14595" max="14595" width="16.140625" style="3" customWidth="1"/>
    <col min="14596" max="14612" width="9.140625" style="3" customWidth="1"/>
    <col min="14613" max="14848" width="9" style="3"/>
    <col min="14849" max="14849" width="5.28515625" style="3" customWidth="1"/>
    <col min="14850" max="14850" width="20.5703125" style="3" customWidth="1"/>
    <col min="14851" max="14851" width="16.140625" style="3" customWidth="1"/>
    <col min="14852" max="14868" width="9.140625" style="3" customWidth="1"/>
    <col min="14869" max="15104" width="9" style="3"/>
    <col min="15105" max="15105" width="5.28515625" style="3" customWidth="1"/>
    <col min="15106" max="15106" width="20.5703125" style="3" customWidth="1"/>
    <col min="15107" max="15107" width="16.140625" style="3" customWidth="1"/>
    <col min="15108" max="15124" width="9.140625" style="3" customWidth="1"/>
    <col min="15125" max="15360" width="9" style="3"/>
    <col min="15361" max="15361" width="5.28515625" style="3" customWidth="1"/>
    <col min="15362" max="15362" width="20.5703125" style="3" customWidth="1"/>
    <col min="15363" max="15363" width="16.140625" style="3" customWidth="1"/>
    <col min="15364" max="15380" width="9.140625" style="3" customWidth="1"/>
    <col min="15381" max="15616" width="9" style="3"/>
    <col min="15617" max="15617" width="5.28515625" style="3" customWidth="1"/>
    <col min="15618" max="15618" width="20.5703125" style="3" customWidth="1"/>
    <col min="15619" max="15619" width="16.140625" style="3" customWidth="1"/>
    <col min="15620" max="15636" width="9.140625" style="3" customWidth="1"/>
    <col min="15637" max="15872" width="9" style="3"/>
    <col min="15873" max="15873" width="5.28515625" style="3" customWidth="1"/>
    <col min="15874" max="15874" width="20.5703125" style="3" customWidth="1"/>
    <col min="15875" max="15875" width="16.140625" style="3" customWidth="1"/>
    <col min="15876" max="15892" width="9.140625" style="3" customWidth="1"/>
    <col min="15893" max="16128" width="9" style="3"/>
    <col min="16129" max="16129" width="5.28515625" style="3" customWidth="1"/>
    <col min="16130" max="16130" width="20.5703125" style="3" customWidth="1"/>
    <col min="16131" max="16131" width="16.140625" style="3" customWidth="1"/>
    <col min="16132" max="16148" width="9.140625" style="3" customWidth="1"/>
    <col min="16149" max="16384" width="9" style="3"/>
  </cols>
  <sheetData>
    <row r="1" spans="1:22" ht="34.5" thickBot="1" x14ac:dyDescent="0.3">
      <c r="A1" s="170" t="s">
        <v>69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2"/>
      <c r="U1" s="1"/>
      <c r="V1" s="1"/>
    </row>
    <row r="2" spans="1:22" ht="185.25" customHeight="1" thickBot="1" x14ac:dyDescent="0.3">
      <c r="A2" s="4" t="s">
        <v>0</v>
      </c>
      <c r="B2" s="5" t="s">
        <v>1</v>
      </c>
      <c r="C2" s="6" t="s">
        <v>2</v>
      </c>
      <c r="D2" s="7" t="s">
        <v>70</v>
      </c>
      <c r="E2" s="8" t="s">
        <v>71</v>
      </c>
      <c r="F2" s="7" t="s">
        <v>113</v>
      </c>
      <c r="G2" s="7" t="s">
        <v>81</v>
      </c>
      <c r="H2" s="7" t="s">
        <v>96</v>
      </c>
      <c r="I2" s="7" t="s">
        <v>95</v>
      </c>
      <c r="J2" s="8" t="s">
        <v>116</v>
      </c>
      <c r="K2" s="8" t="s">
        <v>117</v>
      </c>
      <c r="L2" s="8"/>
      <c r="M2" s="8"/>
      <c r="N2" s="8"/>
      <c r="O2" s="8"/>
      <c r="P2" s="8"/>
      <c r="Q2" s="8"/>
      <c r="R2" s="7"/>
      <c r="S2" s="7"/>
      <c r="T2" s="9" t="s">
        <v>3</v>
      </c>
      <c r="U2" s="10"/>
      <c r="V2" s="10"/>
    </row>
    <row r="3" spans="1:22" x14ac:dyDescent="0.25">
      <c r="A3" s="86" t="s">
        <v>4</v>
      </c>
      <c r="B3" s="14" t="s">
        <v>44</v>
      </c>
      <c r="C3" s="24" t="s">
        <v>17</v>
      </c>
      <c r="D3" s="81">
        <f>100-(90.6-90.6)/90.6*50</f>
        <v>100</v>
      </c>
      <c r="E3" s="17"/>
      <c r="F3" s="81">
        <f>100-(35.85-35.85)/35.85*50</f>
        <v>100</v>
      </c>
      <c r="G3" s="81">
        <f>100-(47.3-47.3)/47.3*50</f>
        <v>100</v>
      </c>
      <c r="H3" s="81">
        <f>100-(41.9-41.9)/41.9*50</f>
        <v>100</v>
      </c>
      <c r="I3" s="81"/>
      <c r="J3" s="87"/>
      <c r="K3" s="81">
        <f>100-(58.45-58.45)/58.45*50</f>
        <v>100</v>
      </c>
      <c r="L3" s="81"/>
      <c r="M3" s="81"/>
      <c r="N3" s="17"/>
      <c r="O3" s="17"/>
      <c r="P3" s="17"/>
      <c r="Q3" s="17"/>
      <c r="R3" s="17"/>
      <c r="S3" s="81"/>
      <c r="T3" s="20">
        <f>SUM(D3:S3)</f>
        <v>500</v>
      </c>
    </row>
    <row r="4" spans="1:22" x14ac:dyDescent="0.25">
      <c r="A4" s="22" t="s">
        <v>6</v>
      </c>
      <c r="B4" s="23"/>
      <c r="C4" s="24"/>
      <c r="D4" s="88"/>
      <c r="E4" s="18"/>
      <c r="F4" s="34"/>
      <c r="G4" s="34"/>
      <c r="H4" s="89"/>
      <c r="I4" s="18"/>
      <c r="J4" s="18"/>
      <c r="K4" s="34"/>
      <c r="L4" s="18"/>
      <c r="M4" s="18"/>
      <c r="N4" s="82"/>
      <c r="O4" s="82"/>
      <c r="P4" s="25"/>
      <c r="Q4" s="82"/>
      <c r="R4" s="60"/>
      <c r="S4" s="90"/>
      <c r="T4" s="73">
        <f>SUM(D4:S4)</f>
        <v>0</v>
      </c>
    </row>
    <row r="5" spans="1:22" x14ac:dyDescent="0.25">
      <c r="A5" s="22" t="s">
        <v>8</v>
      </c>
      <c r="B5" s="23"/>
      <c r="C5" s="24"/>
      <c r="D5" s="35"/>
      <c r="E5" s="21"/>
      <c r="F5" s="38"/>
      <c r="G5" s="38"/>
      <c r="H5" s="21"/>
      <c r="I5" s="21"/>
      <c r="J5" s="21"/>
      <c r="K5" s="21"/>
      <c r="L5" s="21"/>
      <c r="M5" s="21"/>
      <c r="N5" s="18"/>
      <c r="O5" s="21"/>
      <c r="P5" s="25"/>
      <c r="Q5" s="21"/>
      <c r="R5" s="18"/>
      <c r="S5" s="25"/>
      <c r="T5" s="73">
        <f>SUM(D5:S5)</f>
        <v>0</v>
      </c>
    </row>
    <row r="6" spans="1:22" ht="15.75" thickBot="1" x14ac:dyDescent="0.3">
      <c r="A6" s="39" t="s">
        <v>11</v>
      </c>
      <c r="B6" s="40"/>
      <c r="C6" s="41"/>
      <c r="D6" s="61"/>
      <c r="E6" s="63"/>
      <c r="F6" s="77"/>
      <c r="G6" s="77"/>
      <c r="H6" s="63"/>
      <c r="I6" s="63"/>
      <c r="J6" s="63"/>
      <c r="K6" s="63"/>
      <c r="L6" s="63"/>
      <c r="M6" s="43"/>
      <c r="N6" s="63"/>
      <c r="O6" s="63"/>
      <c r="P6" s="46"/>
      <c r="Q6" s="63"/>
      <c r="R6" s="43"/>
      <c r="S6" s="78"/>
      <c r="T6" s="124">
        <f>SUM(D6:S6)</f>
        <v>0</v>
      </c>
    </row>
    <row r="7" spans="1:22" x14ac:dyDescent="0.25">
      <c r="A7" s="2"/>
      <c r="B7" s="2"/>
      <c r="C7" s="2"/>
      <c r="D7" s="2"/>
      <c r="E7" s="2"/>
      <c r="F7" s="53"/>
      <c r="G7" s="53"/>
      <c r="H7" s="2"/>
      <c r="I7" s="2"/>
      <c r="J7" s="2"/>
      <c r="K7" s="2"/>
      <c r="L7" s="2"/>
      <c r="M7" s="2"/>
      <c r="N7" s="2"/>
      <c r="O7" s="2"/>
      <c r="P7" s="2"/>
      <c r="Q7" s="2"/>
      <c r="R7" s="49"/>
      <c r="S7" s="2"/>
      <c r="T7" s="2"/>
    </row>
    <row r="8" spans="1:22" s="54" customFormat="1" x14ac:dyDescent="0.25">
      <c r="A8" s="54" t="s">
        <v>36</v>
      </c>
    </row>
    <row r="9" spans="1:22" s="55" customFormat="1" x14ac:dyDescent="0.25">
      <c r="A9" s="55" t="s">
        <v>37</v>
      </c>
    </row>
  </sheetData>
  <mergeCells count="1">
    <mergeCell ref="A1:T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workbookViewId="0">
      <selection activeCell="J2" sqref="J2:K2"/>
    </sheetView>
  </sheetViews>
  <sheetFormatPr defaultColWidth="9" defaultRowHeight="15" x14ac:dyDescent="0.25"/>
  <cols>
    <col min="1" max="1" width="5" style="3" customWidth="1"/>
    <col min="2" max="2" width="20.7109375" style="3" customWidth="1"/>
    <col min="3" max="3" width="17.85546875" style="3" customWidth="1"/>
    <col min="4" max="5" width="9.140625" style="3" customWidth="1"/>
    <col min="6" max="7" width="9.140625" style="56" customWidth="1"/>
    <col min="8" max="20" width="9.140625" style="3" customWidth="1"/>
    <col min="21" max="29" width="9" style="2"/>
    <col min="30" max="256" width="9" style="3"/>
    <col min="257" max="257" width="5" style="3" customWidth="1"/>
    <col min="258" max="258" width="17.5703125" style="3" customWidth="1"/>
    <col min="259" max="259" width="17.85546875" style="3" customWidth="1"/>
    <col min="260" max="276" width="9.140625" style="3" customWidth="1"/>
    <col min="277" max="512" width="9" style="3"/>
    <col min="513" max="513" width="5" style="3" customWidth="1"/>
    <col min="514" max="514" width="17.5703125" style="3" customWidth="1"/>
    <col min="515" max="515" width="17.85546875" style="3" customWidth="1"/>
    <col min="516" max="532" width="9.140625" style="3" customWidth="1"/>
    <col min="533" max="768" width="9" style="3"/>
    <col min="769" max="769" width="5" style="3" customWidth="1"/>
    <col min="770" max="770" width="17.5703125" style="3" customWidth="1"/>
    <col min="771" max="771" width="17.85546875" style="3" customWidth="1"/>
    <col min="772" max="788" width="9.140625" style="3" customWidth="1"/>
    <col min="789" max="1024" width="9" style="3"/>
    <col min="1025" max="1025" width="5" style="3" customWidth="1"/>
    <col min="1026" max="1026" width="17.5703125" style="3" customWidth="1"/>
    <col min="1027" max="1027" width="17.85546875" style="3" customWidth="1"/>
    <col min="1028" max="1044" width="9.140625" style="3" customWidth="1"/>
    <col min="1045" max="1280" width="9" style="3"/>
    <col min="1281" max="1281" width="5" style="3" customWidth="1"/>
    <col min="1282" max="1282" width="17.5703125" style="3" customWidth="1"/>
    <col min="1283" max="1283" width="17.85546875" style="3" customWidth="1"/>
    <col min="1284" max="1300" width="9.140625" style="3" customWidth="1"/>
    <col min="1301" max="1536" width="9" style="3"/>
    <col min="1537" max="1537" width="5" style="3" customWidth="1"/>
    <col min="1538" max="1538" width="17.5703125" style="3" customWidth="1"/>
    <col min="1539" max="1539" width="17.85546875" style="3" customWidth="1"/>
    <col min="1540" max="1556" width="9.140625" style="3" customWidth="1"/>
    <col min="1557" max="1792" width="9" style="3"/>
    <col min="1793" max="1793" width="5" style="3" customWidth="1"/>
    <col min="1794" max="1794" width="17.5703125" style="3" customWidth="1"/>
    <col min="1795" max="1795" width="17.85546875" style="3" customWidth="1"/>
    <col min="1796" max="1812" width="9.140625" style="3" customWidth="1"/>
    <col min="1813" max="2048" width="9" style="3"/>
    <col min="2049" max="2049" width="5" style="3" customWidth="1"/>
    <col min="2050" max="2050" width="17.5703125" style="3" customWidth="1"/>
    <col min="2051" max="2051" width="17.85546875" style="3" customWidth="1"/>
    <col min="2052" max="2068" width="9.140625" style="3" customWidth="1"/>
    <col min="2069" max="2304" width="9" style="3"/>
    <col min="2305" max="2305" width="5" style="3" customWidth="1"/>
    <col min="2306" max="2306" width="17.5703125" style="3" customWidth="1"/>
    <col min="2307" max="2307" width="17.85546875" style="3" customWidth="1"/>
    <col min="2308" max="2324" width="9.140625" style="3" customWidth="1"/>
    <col min="2325" max="2560" width="9" style="3"/>
    <col min="2561" max="2561" width="5" style="3" customWidth="1"/>
    <col min="2562" max="2562" width="17.5703125" style="3" customWidth="1"/>
    <col min="2563" max="2563" width="17.85546875" style="3" customWidth="1"/>
    <col min="2564" max="2580" width="9.140625" style="3" customWidth="1"/>
    <col min="2581" max="2816" width="9" style="3"/>
    <col min="2817" max="2817" width="5" style="3" customWidth="1"/>
    <col min="2818" max="2818" width="17.5703125" style="3" customWidth="1"/>
    <col min="2819" max="2819" width="17.85546875" style="3" customWidth="1"/>
    <col min="2820" max="2836" width="9.140625" style="3" customWidth="1"/>
    <col min="2837" max="3072" width="9" style="3"/>
    <col min="3073" max="3073" width="5" style="3" customWidth="1"/>
    <col min="3074" max="3074" width="17.5703125" style="3" customWidth="1"/>
    <col min="3075" max="3075" width="17.85546875" style="3" customWidth="1"/>
    <col min="3076" max="3092" width="9.140625" style="3" customWidth="1"/>
    <col min="3093" max="3328" width="9" style="3"/>
    <col min="3329" max="3329" width="5" style="3" customWidth="1"/>
    <col min="3330" max="3330" width="17.5703125" style="3" customWidth="1"/>
    <col min="3331" max="3331" width="17.85546875" style="3" customWidth="1"/>
    <col min="3332" max="3348" width="9.140625" style="3" customWidth="1"/>
    <col min="3349" max="3584" width="9" style="3"/>
    <col min="3585" max="3585" width="5" style="3" customWidth="1"/>
    <col min="3586" max="3586" width="17.5703125" style="3" customWidth="1"/>
    <col min="3587" max="3587" width="17.85546875" style="3" customWidth="1"/>
    <col min="3588" max="3604" width="9.140625" style="3" customWidth="1"/>
    <col min="3605" max="3840" width="9" style="3"/>
    <col min="3841" max="3841" width="5" style="3" customWidth="1"/>
    <col min="3842" max="3842" width="17.5703125" style="3" customWidth="1"/>
    <col min="3843" max="3843" width="17.85546875" style="3" customWidth="1"/>
    <col min="3844" max="3860" width="9.140625" style="3" customWidth="1"/>
    <col min="3861" max="4096" width="9" style="3"/>
    <col min="4097" max="4097" width="5" style="3" customWidth="1"/>
    <col min="4098" max="4098" width="17.5703125" style="3" customWidth="1"/>
    <col min="4099" max="4099" width="17.85546875" style="3" customWidth="1"/>
    <col min="4100" max="4116" width="9.140625" style="3" customWidth="1"/>
    <col min="4117" max="4352" width="9" style="3"/>
    <col min="4353" max="4353" width="5" style="3" customWidth="1"/>
    <col min="4354" max="4354" width="17.5703125" style="3" customWidth="1"/>
    <col min="4355" max="4355" width="17.85546875" style="3" customWidth="1"/>
    <col min="4356" max="4372" width="9.140625" style="3" customWidth="1"/>
    <col min="4373" max="4608" width="9" style="3"/>
    <col min="4609" max="4609" width="5" style="3" customWidth="1"/>
    <col min="4610" max="4610" width="17.5703125" style="3" customWidth="1"/>
    <col min="4611" max="4611" width="17.85546875" style="3" customWidth="1"/>
    <col min="4612" max="4628" width="9.140625" style="3" customWidth="1"/>
    <col min="4629" max="4864" width="9" style="3"/>
    <col min="4865" max="4865" width="5" style="3" customWidth="1"/>
    <col min="4866" max="4866" width="17.5703125" style="3" customWidth="1"/>
    <col min="4867" max="4867" width="17.85546875" style="3" customWidth="1"/>
    <col min="4868" max="4884" width="9.140625" style="3" customWidth="1"/>
    <col min="4885" max="5120" width="9" style="3"/>
    <col min="5121" max="5121" width="5" style="3" customWidth="1"/>
    <col min="5122" max="5122" width="17.5703125" style="3" customWidth="1"/>
    <col min="5123" max="5123" width="17.85546875" style="3" customWidth="1"/>
    <col min="5124" max="5140" width="9.140625" style="3" customWidth="1"/>
    <col min="5141" max="5376" width="9" style="3"/>
    <col min="5377" max="5377" width="5" style="3" customWidth="1"/>
    <col min="5378" max="5378" width="17.5703125" style="3" customWidth="1"/>
    <col min="5379" max="5379" width="17.85546875" style="3" customWidth="1"/>
    <col min="5380" max="5396" width="9.140625" style="3" customWidth="1"/>
    <col min="5397" max="5632" width="9" style="3"/>
    <col min="5633" max="5633" width="5" style="3" customWidth="1"/>
    <col min="5634" max="5634" width="17.5703125" style="3" customWidth="1"/>
    <col min="5635" max="5635" width="17.85546875" style="3" customWidth="1"/>
    <col min="5636" max="5652" width="9.140625" style="3" customWidth="1"/>
    <col min="5653" max="5888" width="9" style="3"/>
    <col min="5889" max="5889" width="5" style="3" customWidth="1"/>
    <col min="5890" max="5890" width="17.5703125" style="3" customWidth="1"/>
    <col min="5891" max="5891" width="17.85546875" style="3" customWidth="1"/>
    <col min="5892" max="5908" width="9.140625" style="3" customWidth="1"/>
    <col min="5909" max="6144" width="9" style="3"/>
    <col min="6145" max="6145" width="5" style="3" customWidth="1"/>
    <col min="6146" max="6146" width="17.5703125" style="3" customWidth="1"/>
    <col min="6147" max="6147" width="17.85546875" style="3" customWidth="1"/>
    <col min="6148" max="6164" width="9.140625" style="3" customWidth="1"/>
    <col min="6165" max="6400" width="9" style="3"/>
    <col min="6401" max="6401" width="5" style="3" customWidth="1"/>
    <col min="6402" max="6402" width="17.5703125" style="3" customWidth="1"/>
    <col min="6403" max="6403" width="17.85546875" style="3" customWidth="1"/>
    <col min="6404" max="6420" width="9.140625" style="3" customWidth="1"/>
    <col min="6421" max="6656" width="9" style="3"/>
    <col min="6657" max="6657" width="5" style="3" customWidth="1"/>
    <col min="6658" max="6658" width="17.5703125" style="3" customWidth="1"/>
    <col min="6659" max="6659" width="17.85546875" style="3" customWidth="1"/>
    <col min="6660" max="6676" width="9.140625" style="3" customWidth="1"/>
    <col min="6677" max="6912" width="9" style="3"/>
    <col min="6913" max="6913" width="5" style="3" customWidth="1"/>
    <col min="6914" max="6914" width="17.5703125" style="3" customWidth="1"/>
    <col min="6915" max="6915" width="17.85546875" style="3" customWidth="1"/>
    <col min="6916" max="6932" width="9.140625" style="3" customWidth="1"/>
    <col min="6933" max="7168" width="9" style="3"/>
    <col min="7169" max="7169" width="5" style="3" customWidth="1"/>
    <col min="7170" max="7170" width="17.5703125" style="3" customWidth="1"/>
    <col min="7171" max="7171" width="17.85546875" style="3" customWidth="1"/>
    <col min="7172" max="7188" width="9.140625" style="3" customWidth="1"/>
    <col min="7189" max="7424" width="9" style="3"/>
    <col min="7425" max="7425" width="5" style="3" customWidth="1"/>
    <col min="7426" max="7426" width="17.5703125" style="3" customWidth="1"/>
    <col min="7427" max="7427" width="17.85546875" style="3" customWidth="1"/>
    <col min="7428" max="7444" width="9.140625" style="3" customWidth="1"/>
    <col min="7445" max="7680" width="9" style="3"/>
    <col min="7681" max="7681" width="5" style="3" customWidth="1"/>
    <col min="7682" max="7682" width="17.5703125" style="3" customWidth="1"/>
    <col min="7683" max="7683" width="17.85546875" style="3" customWidth="1"/>
    <col min="7684" max="7700" width="9.140625" style="3" customWidth="1"/>
    <col min="7701" max="7936" width="9" style="3"/>
    <col min="7937" max="7937" width="5" style="3" customWidth="1"/>
    <col min="7938" max="7938" width="17.5703125" style="3" customWidth="1"/>
    <col min="7939" max="7939" width="17.85546875" style="3" customWidth="1"/>
    <col min="7940" max="7956" width="9.140625" style="3" customWidth="1"/>
    <col min="7957" max="8192" width="9" style="3"/>
    <col min="8193" max="8193" width="5" style="3" customWidth="1"/>
    <col min="8194" max="8194" width="17.5703125" style="3" customWidth="1"/>
    <col min="8195" max="8195" width="17.85546875" style="3" customWidth="1"/>
    <col min="8196" max="8212" width="9.140625" style="3" customWidth="1"/>
    <col min="8213" max="8448" width="9" style="3"/>
    <col min="8449" max="8449" width="5" style="3" customWidth="1"/>
    <col min="8450" max="8450" width="17.5703125" style="3" customWidth="1"/>
    <col min="8451" max="8451" width="17.85546875" style="3" customWidth="1"/>
    <col min="8452" max="8468" width="9.140625" style="3" customWidth="1"/>
    <col min="8469" max="8704" width="9" style="3"/>
    <col min="8705" max="8705" width="5" style="3" customWidth="1"/>
    <col min="8706" max="8706" width="17.5703125" style="3" customWidth="1"/>
    <col min="8707" max="8707" width="17.85546875" style="3" customWidth="1"/>
    <col min="8708" max="8724" width="9.140625" style="3" customWidth="1"/>
    <col min="8725" max="8960" width="9" style="3"/>
    <col min="8961" max="8961" width="5" style="3" customWidth="1"/>
    <col min="8962" max="8962" width="17.5703125" style="3" customWidth="1"/>
    <col min="8963" max="8963" width="17.85546875" style="3" customWidth="1"/>
    <col min="8964" max="8980" width="9.140625" style="3" customWidth="1"/>
    <col min="8981" max="9216" width="9" style="3"/>
    <col min="9217" max="9217" width="5" style="3" customWidth="1"/>
    <col min="9218" max="9218" width="17.5703125" style="3" customWidth="1"/>
    <col min="9219" max="9219" width="17.85546875" style="3" customWidth="1"/>
    <col min="9220" max="9236" width="9.140625" style="3" customWidth="1"/>
    <col min="9237" max="9472" width="9" style="3"/>
    <col min="9473" max="9473" width="5" style="3" customWidth="1"/>
    <col min="9474" max="9474" width="17.5703125" style="3" customWidth="1"/>
    <col min="9475" max="9475" width="17.85546875" style="3" customWidth="1"/>
    <col min="9476" max="9492" width="9.140625" style="3" customWidth="1"/>
    <col min="9493" max="9728" width="9" style="3"/>
    <col min="9729" max="9729" width="5" style="3" customWidth="1"/>
    <col min="9730" max="9730" width="17.5703125" style="3" customWidth="1"/>
    <col min="9731" max="9731" width="17.85546875" style="3" customWidth="1"/>
    <col min="9732" max="9748" width="9.140625" style="3" customWidth="1"/>
    <col min="9749" max="9984" width="9" style="3"/>
    <col min="9985" max="9985" width="5" style="3" customWidth="1"/>
    <col min="9986" max="9986" width="17.5703125" style="3" customWidth="1"/>
    <col min="9987" max="9987" width="17.85546875" style="3" customWidth="1"/>
    <col min="9988" max="10004" width="9.140625" style="3" customWidth="1"/>
    <col min="10005" max="10240" width="9" style="3"/>
    <col min="10241" max="10241" width="5" style="3" customWidth="1"/>
    <col min="10242" max="10242" width="17.5703125" style="3" customWidth="1"/>
    <col min="10243" max="10243" width="17.85546875" style="3" customWidth="1"/>
    <col min="10244" max="10260" width="9.140625" style="3" customWidth="1"/>
    <col min="10261" max="10496" width="9" style="3"/>
    <col min="10497" max="10497" width="5" style="3" customWidth="1"/>
    <col min="10498" max="10498" width="17.5703125" style="3" customWidth="1"/>
    <col min="10499" max="10499" width="17.85546875" style="3" customWidth="1"/>
    <col min="10500" max="10516" width="9.140625" style="3" customWidth="1"/>
    <col min="10517" max="10752" width="9" style="3"/>
    <col min="10753" max="10753" width="5" style="3" customWidth="1"/>
    <col min="10754" max="10754" width="17.5703125" style="3" customWidth="1"/>
    <col min="10755" max="10755" width="17.85546875" style="3" customWidth="1"/>
    <col min="10756" max="10772" width="9.140625" style="3" customWidth="1"/>
    <col min="10773" max="11008" width="9" style="3"/>
    <col min="11009" max="11009" width="5" style="3" customWidth="1"/>
    <col min="11010" max="11010" width="17.5703125" style="3" customWidth="1"/>
    <col min="11011" max="11011" width="17.85546875" style="3" customWidth="1"/>
    <col min="11012" max="11028" width="9.140625" style="3" customWidth="1"/>
    <col min="11029" max="11264" width="9" style="3"/>
    <col min="11265" max="11265" width="5" style="3" customWidth="1"/>
    <col min="11266" max="11266" width="17.5703125" style="3" customWidth="1"/>
    <col min="11267" max="11267" width="17.85546875" style="3" customWidth="1"/>
    <col min="11268" max="11284" width="9.140625" style="3" customWidth="1"/>
    <col min="11285" max="11520" width="9" style="3"/>
    <col min="11521" max="11521" width="5" style="3" customWidth="1"/>
    <col min="11522" max="11522" width="17.5703125" style="3" customWidth="1"/>
    <col min="11523" max="11523" width="17.85546875" style="3" customWidth="1"/>
    <col min="11524" max="11540" width="9.140625" style="3" customWidth="1"/>
    <col min="11541" max="11776" width="9" style="3"/>
    <col min="11777" max="11777" width="5" style="3" customWidth="1"/>
    <col min="11778" max="11778" width="17.5703125" style="3" customWidth="1"/>
    <col min="11779" max="11779" width="17.85546875" style="3" customWidth="1"/>
    <col min="11780" max="11796" width="9.140625" style="3" customWidth="1"/>
    <col min="11797" max="12032" width="9" style="3"/>
    <col min="12033" max="12033" width="5" style="3" customWidth="1"/>
    <col min="12034" max="12034" width="17.5703125" style="3" customWidth="1"/>
    <col min="12035" max="12035" width="17.85546875" style="3" customWidth="1"/>
    <col min="12036" max="12052" width="9.140625" style="3" customWidth="1"/>
    <col min="12053" max="12288" width="9" style="3"/>
    <col min="12289" max="12289" width="5" style="3" customWidth="1"/>
    <col min="12290" max="12290" width="17.5703125" style="3" customWidth="1"/>
    <col min="12291" max="12291" width="17.85546875" style="3" customWidth="1"/>
    <col min="12292" max="12308" width="9.140625" style="3" customWidth="1"/>
    <col min="12309" max="12544" width="9" style="3"/>
    <col min="12545" max="12545" width="5" style="3" customWidth="1"/>
    <col min="12546" max="12546" width="17.5703125" style="3" customWidth="1"/>
    <col min="12547" max="12547" width="17.85546875" style="3" customWidth="1"/>
    <col min="12548" max="12564" width="9.140625" style="3" customWidth="1"/>
    <col min="12565" max="12800" width="9" style="3"/>
    <col min="12801" max="12801" width="5" style="3" customWidth="1"/>
    <col min="12802" max="12802" width="17.5703125" style="3" customWidth="1"/>
    <col min="12803" max="12803" width="17.85546875" style="3" customWidth="1"/>
    <col min="12804" max="12820" width="9.140625" style="3" customWidth="1"/>
    <col min="12821" max="13056" width="9" style="3"/>
    <col min="13057" max="13057" width="5" style="3" customWidth="1"/>
    <col min="13058" max="13058" width="17.5703125" style="3" customWidth="1"/>
    <col min="13059" max="13059" width="17.85546875" style="3" customWidth="1"/>
    <col min="13060" max="13076" width="9.140625" style="3" customWidth="1"/>
    <col min="13077" max="13312" width="9" style="3"/>
    <col min="13313" max="13313" width="5" style="3" customWidth="1"/>
    <col min="13314" max="13314" width="17.5703125" style="3" customWidth="1"/>
    <col min="13315" max="13315" width="17.85546875" style="3" customWidth="1"/>
    <col min="13316" max="13332" width="9.140625" style="3" customWidth="1"/>
    <col min="13333" max="13568" width="9" style="3"/>
    <col min="13569" max="13569" width="5" style="3" customWidth="1"/>
    <col min="13570" max="13570" width="17.5703125" style="3" customWidth="1"/>
    <col min="13571" max="13571" width="17.85546875" style="3" customWidth="1"/>
    <col min="13572" max="13588" width="9.140625" style="3" customWidth="1"/>
    <col min="13589" max="13824" width="9" style="3"/>
    <col min="13825" max="13825" width="5" style="3" customWidth="1"/>
    <col min="13826" max="13826" width="17.5703125" style="3" customWidth="1"/>
    <col min="13827" max="13827" width="17.85546875" style="3" customWidth="1"/>
    <col min="13828" max="13844" width="9.140625" style="3" customWidth="1"/>
    <col min="13845" max="14080" width="9" style="3"/>
    <col min="14081" max="14081" width="5" style="3" customWidth="1"/>
    <col min="14082" max="14082" width="17.5703125" style="3" customWidth="1"/>
    <col min="14083" max="14083" width="17.85546875" style="3" customWidth="1"/>
    <col min="14084" max="14100" width="9.140625" style="3" customWidth="1"/>
    <col min="14101" max="14336" width="9" style="3"/>
    <col min="14337" max="14337" width="5" style="3" customWidth="1"/>
    <col min="14338" max="14338" width="17.5703125" style="3" customWidth="1"/>
    <col min="14339" max="14339" width="17.85546875" style="3" customWidth="1"/>
    <col min="14340" max="14356" width="9.140625" style="3" customWidth="1"/>
    <col min="14357" max="14592" width="9" style="3"/>
    <col min="14593" max="14593" width="5" style="3" customWidth="1"/>
    <col min="14594" max="14594" width="17.5703125" style="3" customWidth="1"/>
    <col min="14595" max="14595" width="17.85546875" style="3" customWidth="1"/>
    <col min="14596" max="14612" width="9.140625" style="3" customWidth="1"/>
    <col min="14613" max="14848" width="9" style="3"/>
    <col min="14849" max="14849" width="5" style="3" customWidth="1"/>
    <col min="14850" max="14850" width="17.5703125" style="3" customWidth="1"/>
    <col min="14851" max="14851" width="17.85546875" style="3" customWidth="1"/>
    <col min="14852" max="14868" width="9.140625" style="3" customWidth="1"/>
    <col min="14869" max="15104" width="9" style="3"/>
    <col min="15105" max="15105" width="5" style="3" customWidth="1"/>
    <col min="15106" max="15106" width="17.5703125" style="3" customWidth="1"/>
    <col min="15107" max="15107" width="17.85546875" style="3" customWidth="1"/>
    <col min="15108" max="15124" width="9.140625" style="3" customWidth="1"/>
    <col min="15125" max="15360" width="9" style="3"/>
    <col min="15361" max="15361" width="5" style="3" customWidth="1"/>
    <col min="15362" max="15362" width="17.5703125" style="3" customWidth="1"/>
    <col min="15363" max="15363" width="17.85546875" style="3" customWidth="1"/>
    <col min="15364" max="15380" width="9.140625" style="3" customWidth="1"/>
    <col min="15381" max="15616" width="9" style="3"/>
    <col min="15617" max="15617" width="5" style="3" customWidth="1"/>
    <col min="15618" max="15618" width="17.5703125" style="3" customWidth="1"/>
    <col min="15619" max="15619" width="17.85546875" style="3" customWidth="1"/>
    <col min="15620" max="15636" width="9.140625" style="3" customWidth="1"/>
    <col min="15637" max="15872" width="9" style="3"/>
    <col min="15873" max="15873" width="5" style="3" customWidth="1"/>
    <col min="15874" max="15874" width="17.5703125" style="3" customWidth="1"/>
    <col min="15875" max="15875" width="17.85546875" style="3" customWidth="1"/>
    <col min="15876" max="15892" width="9.140625" style="3" customWidth="1"/>
    <col min="15893" max="16128" width="9" style="3"/>
    <col min="16129" max="16129" width="5" style="3" customWidth="1"/>
    <col min="16130" max="16130" width="17.5703125" style="3" customWidth="1"/>
    <col min="16131" max="16131" width="17.85546875" style="3" customWidth="1"/>
    <col min="16132" max="16148" width="9.140625" style="3" customWidth="1"/>
    <col min="16149" max="16384" width="9" style="3"/>
  </cols>
  <sheetData>
    <row r="1" spans="1:22" ht="34.5" thickBot="1" x14ac:dyDescent="0.3">
      <c r="A1" s="170" t="s">
        <v>69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2"/>
      <c r="U1" s="1"/>
      <c r="V1" s="1"/>
    </row>
    <row r="2" spans="1:22" ht="192" customHeight="1" thickBot="1" x14ac:dyDescent="0.3">
      <c r="A2" s="4" t="s">
        <v>0</v>
      </c>
      <c r="B2" s="5" t="s">
        <v>1</v>
      </c>
      <c r="C2" s="6" t="s">
        <v>2</v>
      </c>
      <c r="D2" s="7" t="s">
        <v>70</v>
      </c>
      <c r="E2" s="8" t="s">
        <v>101</v>
      </c>
      <c r="F2" s="7" t="s">
        <v>104</v>
      </c>
      <c r="G2" s="7" t="s">
        <v>81</v>
      </c>
      <c r="H2" s="7" t="s">
        <v>96</v>
      </c>
      <c r="I2" s="7" t="s">
        <v>95</v>
      </c>
      <c r="J2" s="8" t="s">
        <v>116</v>
      </c>
      <c r="K2" s="8" t="s">
        <v>117</v>
      </c>
      <c r="L2" s="8"/>
      <c r="M2" s="8"/>
      <c r="N2" s="8"/>
      <c r="O2" s="8"/>
      <c r="P2" s="8"/>
      <c r="Q2" s="8"/>
      <c r="R2" s="7"/>
      <c r="S2" s="7"/>
      <c r="T2" s="9" t="s">
        <v>3</v>
      </c>
      <c r="U2" s="10"/>
      <c r="V2" s="10"/>
    </row>
    <row r="3" spans="1:22" x14ac:dyDescent="0.25">
      <c r="A3" s="86" t="s">
        <v>4</v>
      </c>
      <c r="B3" s="14" t="s">
        <v>90</v>
      </c>
      <c r="C3" s="15" t="s">
        <v>85</v>
      </c>
      <c r="D3" s="17"/>
      <c r="E3" s="17"/>
      <c r="F3" s="17"/>
      <c r="G3" s="81">
        <f>100-(72.5-72.5)/72.5*50</f>
        <v>100</v>
      </c>
      <c r="H3" s="81">
        <f>100-(36.22-36.22)/36.22*50</f>
        <v>100</v>
      </c>
      <c r="I3" s="81">
        <f>100-(52.63-52.63)/52.63*50</f>
        <v>100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20">
        <f>SUM(D3:S3)-K3-L3-M3-N3-O3-Q3</f>
        <v>300</v>
      </c>
    </row>
    <row r="4" spans="1:22" x14ac:dyDescent="0.25">
      <c r="A4" s="92" t="s">
        <v>6</v>
      </c>
      <c r="B4" s="23" t="s">
        <v>103</v>
      </c>
      <c r="C4" s="24" t="s">
        <v>25</v>
      </c>
      <c r="D4" s="35"/>
      <c r="E4" s="21"/>
      <c r="F4" s="38"/>
      <c r="G4" s="18"/>
      <c r="H4" s="18">
        <f>100-(59.02-36.22)/36.22*50</f>
        <v>68.525676421866365</v>
      </c>
      <c r="I4" s="18">
        <f>100-(75.68-52.63)/52.63*50</f>
        <v>78.101843055291653</v>
      </c>
      <c r="J4" s="21"/>
      <c r="K4" s="21"/>
      <c r="L4" s="18"/>
      <c r="M4" s="21"/>
      <c r="N4" s="21"/>
      <c r="O4" s="21"/>
      <c r="P4" s="21"/>
      <c r="Q4" s="21"/>
      <c r="R4" s="21"/>
      <c r="S4" s="29"/>
      <c r="T4" s="26">
        <f>SUM(D4:S4)</f>
        <v>146.62751947715802</v>
      </c>
    </row>
    <row r="5" spans="1:22" x14ac:dyDescent="0.25">
      <c r="A5" s="92" t="s">
        <v>8</v>
      </c>
      <c r="B5" s="23"/>
      <c r="C5" s="24"/>
      <c r="D5" s="71"/>
      <c r="E5" s="18"/>
      <c r="F5" s="37"/>
      <c r="G5" s="18"/>
      <c r="H5" s="37"/>
      <c r="I5" s="18"/>
      <c r="J5" s="18"/>
      <c r="K5" s="37"/>
      <c r="L5" s="37"/>
      <c r="M5" s="25"/>
      <c r="N5" s="18"/>
      <c r="O5" s="18"/>
      <c r="P5" s="18"/>
      <c r="Q5" s="18"/>
      <c r="R5" s="18"/>
      <c r="S5" s="29"/>
      <c r="T5" s="26">
        <f>SUM(D5:S5)</f>
        <v>0</v>
      </c>
    </row>
    <row r="6" spans="1:22" x14ac:dyDescent="0.25">
      <c r="A6" s="92" t="s">
        <v>11</v>
      </c>
      <c r="B6" s="23"/>
      <c r="C6" s="24"/>
      <c r="D6" s="36"/>
      <c r="E6" s="18"/>
      <c r="F6" s="34"/>
      <c r="G6" s="34"/>
      <c r="H6" s="18"/>
      <c r="I6" s="18"/>
      <c r="J6" s="18"/>
      <c r="K6" s="18"/>
      <c r="L6" s="37"/>
      <c r="M6" s="18"/>
      <c r="N6" s="18"/>
      <c r="O6" s="37"/>
      <c r="P6" s="37"/>
      <c r="Q6" s="37"/>
      <c r="R6" s="25"/>
      <c r="S6" s="25"/>
      <c r="T6" s="26">
        <f>SUM(D6:S6)</f>
        <v>0</v>
      </c>
    </row>
    <row r="7" spans="1:22" x14ac:dyDescent="0.25">
      <c r="A7" s="92" t="s">
        <v>13</v>
      </c>
      <c r="B7" s="23"/>
      <c r="C7" s="24"/>
      <c r="D7" s="35"/>
      <c r="E7" s="21"/>
      <c r="F7" s="18"/>
      <c r="G7" s="38"/>
      <c r="H7" s="21"/>
      <c r="I7" s="21"/>
      <c r="J7" s="21"/>
      <c r="K7" s="21"/>
      <c r="L7" s="37"/>
      <c r="M7" s="18"/>
      <c r="N7" s="18"/>
      <c r="O7" s="21"/>
      <c r="P7" s="21"/>
      <c r="Q7" s="21"/>
      <c r="R7" s="25"/>
      <c r="S7" s="25"/>
      <c r="T7" s="26">
        <f>SUM(D7:S7)</f>
        <v>0</v>
      </c>
    </row>
    <row r="8" spans="1:22" ht="15.75" thickBot="1" x14ac:dyDescent="0.3">
      <c r="A8" s="93" t="s">
        <v>15</v>
      </c>
      <c r="B8" s="40"/>
      <c r="C8" s="41"/>
      <c r="D8" s="61"/>
      <c r="E8" s="63"/>
      <c r="F8" s="43"/>
      <c r="G8" s="43"/>
      <c r="H8" s="63"/>
      <c r="I8" s="63"/>
      <c r="J8" s="63"/>
      <c r="K8" s="63"/>
      <c r="L8" s="61"/>
      <c r="M8" s="43"/>
      <c r="N8" s="43"/>
      <c r="O8" s="45"/>
      <c r="P8" s="45"/>
      <c r="Q8" s="45"/>
      <c r="R8" s="43"/>
      <c r="S8" s="46"/>
      <c r="T8" s="48">
        <f>SUM(D8:S8)</f>
        <v>0</v>
      </c>
    </row>
    <row r="9" spans="1:22" x14ac:dyDescent="0.25">
      <c r="A9" s="2"/>
      <c r="B9" s="2"/>
      <c r="C9" s="2"/>
      <c r="D9" s="2"/>
      <c r="E9" s="2"/>
      <c r="F9" s="53"/>
      <c r="G9" s="53"/>
      <c r="H9" s="2"/>
      <c r="I9" s="2"/>
      <c r="J9" s="2"/>
      <c r="K9" s="2"/>
      <c r="L9" s="2"/>
      <c r="M9" s="2"/>
      <c r="N9" s="2"/>
      <c r="O9" s="2"/>
      <c r="P9" s="2"/>
      <c r="Q9" s="2"/>
      <c r="R9" s="49"/>
      <c r="S9" s="2"/>
      <c r="T9" s="2"/>
    </row>
    <row r="10" spans="1:22" s="54" customFormat="1" x14ac:dyDescent="0.25">
      <c r="A10" s="54" t="s">
        <v>36</v>
      </c>
    </row>
    <row r="11" spans="1:22" s="55" customFormat="1" x14ac:dyDescent="0.25">
      <c r="A11" s="55" t="s">
        <v>37</v>
      </c>
    </row>
  </sheetData>
  <sortState ref="A3:T8">
    <sortCondition descending="1" ref="T3"/>
  </sortState>
  <mergeCells count="1">
    <mergeCell ref="A1:T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workbookViewId="0">
      <selection activeCell="K4" sqref="K4"/>
    </sheetView>
  </sheetViews>
  <sheetFormatPr defaultColWidth="9" defaultRowHeight="15" x14ac:dyDescent="0.25"/>
  <cols>
    <col min="1" max="1" width="5.140625" style="3" customWidth="1"/>
    <col min="2" max="2" width="19" style="3" customWidth="1"/>
    <col min="3" max="3" width="15.42578125" style="3" customWidth="1"/>
    <col min="4" max="5" width="9.140625" style="3" customWidth="1"/>
    <col min="6" max="6" width="9.140625" style="56" customWidth="1"/>
    <col min="7" max="20" width="9.140625" style="3" customWidth="1"/>
    <col min="21" max="31" width="9" style="2"/>
    <col min="32" max="256" width="9" style="3"/>
    <col min="257" max="257" width="5.140625" style="3" customWidth="1"/>
    <col min="258" max="258" width="19" style="3" customWidth="1"/>
    <col min="259" max="259" width="15.42578125" style="3" customWidth="1"/>
    <col min="260" max="276" width="9.140625" style="3" customWidth="1"/>
    <col min="277" max="512" width="9" style="3"/>
    <col min="513" max="513" width="5.140625" style="3" customWidth="1"/>
    <col min="514" max="514" width="19" style="3" customWidth="1"/>
    <col min="515" max="515" width="15.42578125" style="3" customWidth="1"/>
    <col min="516" max="532" width="9.140625" style="3" customWidth="1"/>
    <col min="533" max="768" width="9" style="3"/>
    <col min="769" max="769" width="5.140625" style="3" customWidth="1"/>
    <col min="770" max="770" width="19" style="3" customWidth="1"/>
    <col min="771" max="771" width="15.42578125" style="3" customWidth="1"/>
    <col min="772" max="788" width="9.140625" style="3" customWidth="1"/>
    <col min="789" max="1024" width="9" style="3"/>
    <col min="1025" max="1025" width="5.140625" style="3" customWidth="1"/>
    <col min="1026" max="1026" width="19" style="3" customWidth="1"/>
    <col min="1027" max="1027" width="15.42578125" style="3" customWidth="1"/>
    <col min="1028" max="1044" width="9.140625" style="3" customWidth="1"/>
    <col min="1045" max="1280" width="9" style="3"/>
    <col min="1281" max="1281" width="5.140625" style="3" customWidth="1"/>
    <col min="1282" max="1282" width="19" style="3" customWidth="1"/>
    <col min="1283" max="1283" width="15.42578125" style="3" customWidth="1"/>
    <col min="1284" max="1300" width="9.140625" style="3" customWidth="1"/>
    <col min="1301" max="1536" width="9" style="3"/>
    <col min="1537" max="1537" width="5.140625" style="3" customWidth="1"/>
    <col min="1538" max="1538" width="19" style="3" customWidth="1"/>
    <col min="1539" max="1539" width="15.42578125" style="3" customWidth="1"/>
    <col min="1540" max="1556" width="9.140625" style="3" customWidth="1"/>
    <col min="1557" max="1792" width="9" style="3"/>
    <col min="1793" max="1793" width="5.140625" style="3" customWidth="1"/>
    <col min="1794" max="1794" width="19" style="3" customWidth="1"/>
    <col min="1795" max="1795" width="15.42578125" style="3" customWidth="1"/>
    <col min="1796" max="1812" width="9.140625" style="3" customWidth="1"/>
    <col min="1813" max="2048" width="9" style="3"/>
    <col min="2049" max="2049" width="5.140625" style="3" customWidth="1"/>
    <col min="2050" max="2050" width="19" style="3" customWidth="1"/>
    <col min="2051" max="2051" width="15.42578125" style="3" customWidth="1"/>
    <col min="2052" max="2068" width="9.140625" style="3" customWidth="1"/>
    <col min="2069" max="2304" width="9" style="3"/>
    <col min="2305" max="2305" width="5.140625" style="3" customWidth="1"/>
    <col min="2306" max="2306" width="19" style="3" customWidth="1"/>
    <col min="2307" max="2307" width="15.42578125" style="3" customWidth="1"/>
    <col min="2308" max="2324" width="9.140625" style="3" customWidth="1"/>
    <col min="2325" max="2560" width="9" style="3"/>
    <col min="2561" max="2561" width="5.140625" style="3" customWidth="1"/>
    <col min="2562" max="2562" width="19" style="3" customWidth="1"/>
    <col min="2563" max="2563" width="15.42578125" style="3" customWidth="1"/>
    <col min="2564" max="2580" width="9.140625" style="3" customWidth="1"/>
    <col min="2581" max="2816" width="9" style="3"/>
    <col min="2817" max="2817" width="5.140625" style="3" customWidth="1"/>
    <col min="2818" max="2818" width="19" style="3" customWidth="1"/>
    <col min="2819" max="2819" width="15.42578125" style="3" customWidth="1"/>
    <col min="2820" max="2836" width="9.140625" style="3" customWidth="1"/>
    <col min="2837" max="3072" width="9" style="3"/>
    <col min="3073" max="3073" width="5.140625" style="3" customWidth="1"/>
    <col min="3074" max="3074" width="19" style="3" customWidth="1"/>
    <col min="3075" max="3075" width="15.42578125" style="3" customWidth="1"/>
    <col min="3076" max="3092" width="9.140625" style="3" customWidth="1"/>
    <col min="3093" max="3328" width="9" style="3"/>
    <col min="3329" max="3329" width="5.140625" style="3" customWidth="1"/>
    <col min="3330" max="3330" width="19" style="3" customWidth="1"/>
    <col min="3331" max="3331" width="15.42578125" style="3" customWidth="1"/>
    <col min="3332" max="3348" width="9.140625" style="3" customWidth="1"/>
    <col min="3349" max="3584" width="9" style="3"/>
    <col min="3585" max="3585" width="5.140625" style="3" customWidth="1"/>
    <col min="3586" max="3586" width="19" style="3" customWidth="1"/>
    <col min="3587" max="3587" width="15.42578125" style="3" customWidth="1"/>
    <col min="3588" max="3604" width="9.140625" style="3" customWidth="1"/>
    <col min="3605" max="3840" width="9" style="3"/>
    <col min="3841" max="3841" width="5.140625" style="3" customWidth="1"/>
    <col min="3842" max="3842" width="19" style="3" customWidth="1"/>
    <col min="3843" max="3843" width="15.42578125" style="3" customWidth="1"/>
    <col min="3844" max="3860" width="9.140625" style="3" customWidth="1"/>
    <col min="3861" max="4096" width="9" style="3"/>
    <col min="4097" max="4097" width="5.140625" style="3" customWidth="1"/>
    <col min="4098" max="4098" width="19" style="3" customWidth="1"/>
    <col min="4099" max="4099" width="15.42578125" style="3" customWidth="1"/>
    <col min="4100" max="4116" width="9.140625" style="3" customWidth="1"/>
    <col min="4117" max="4352" width="9" style="3"/>
    <col min="4353" max="4353" width="5.140625" style="3" customWidth="1"/>
    <col min="4354" max="4354" width="19" style="3" customWidth="1"/>
    <col min="4355" max="4355" width="15.42578125" style="3" customWidth="1"/>
    <col min="4356" max="4372" width="9.140625" style="3" customWidth="1"/>
    <col min="4373" max="4608" width="9" style="3"/>
    <col min="4609" max="4609" width="5.140625" style="3" customWidth="1"/>
    <col min="4610" max="4610" width="19" style="3" customWidth="1"/>
    <col min="4611" max="4611" width="15.42578125" style="3" customWidth="1"/>
    <col min="4612" max="4628" width="9.140625" style="3" customWidth="1"/>
    <col min="4629" max="4864" width="9" style="3"/>
    <col min="4865" max="4865" width="5.140625" style="3" customWidth="1"/>
    <col min="4866" max="4866" width="19" style="3" customWidth="1"/>
    <col min="4867" max="4867" width="15.42578125" style="3" customWidth="1"/>
    <col min="4868" max="4884" width="9.140625" style="3" customWidth="1"/>
    <col min="4885" max="5120" width="9" style="3"/>
    <col min="5121" max="5121" width="5.140625" style="3" customWidth="1"/>
    <col min="5122" max="5122" width="19" style="3" customWidth="1"/>
    <col min="5123" max="5123" width="15.42578125" style="3" customWidth="1"/>
    <col min="5124" max="5140" width="9.140625" style="3" customWidth="1"/>
    <col min="5141" max="5376" width="9" style="3"/>
    <col min="5377" max="5377" width="5.140625" style="3" customWidth="1"/>
    <col min="5378" max="5378" width="19" style="3" customWidth="1"/>
    <col min="5379" max="5379" width="15.42578125" style="3" customWidth="1"/>
    <col min="5380" max="5396" width="9.140625" style="3" customWidth="1"/>
    <col min="5397" max="5632" width="9" style="3"/>
    <col min="5633" max="5633" width="5.140625" style="3" customWidth="1"/>
    <col min="5634" max="5634" width="19" style="3" customWidth="1"/>
    <col min="5635" max="5635" width="15.42578125" style="3" customWidth="1"/>
    <col min="5636" max="5652" width="9.140625" style="3" customWidth="1"/>
    <col min="5653" max="5888" width="9" style="3"/>
    <col min="5889" max="5889" width="5.140625" style="3" customWidth="1"/>
    <col min="5890" max="5890" width="19" style="3" customWidth="1"/>
    <col min="5891" max="5891" width="15.42578125" style="3" customWidth="1"/>
    <col min="5892" max="5908" width="9.140625" style="3" customWidth="1"/>
    <col min="5909" max="6144" width="9" style="3"/>
    <col min="6145" max="6145" width="5.140625" style="3" customWidth="1"/>
    <col min="6146" max="6146" width="19" style="3" customWidth="1"/>
    <col min="6147" max="6147" width="15.42578125" style="3" customWidth="1"/>
    <col min="6148" max="6164" width="9.140625" style="3" customWidth="1"/>
    <col min="6165" max="6400" width="9" style="3"/>
    <col min="6401" max="6401" width="5.140625" style="3" customWidth="1"/>
    <col min="6402" max="6402" width="19" style="3" customWidth="1"/>
    <col min="6403" max="6403" width="15.42578125" style="3" customWidth="1"/>
    <col min="6404" max="6420" width="9.140625" style="3" customWidth="1"/>
    <col min="6421" max="6656" width="9" style="3"/>
    <col min="6657" max="6657" width="5.140625" style="3" customWidth="1"/>
    <col min="6658" max="6658" width="19" style="3" customWidth="1"/>
    <col min="6659" max="6659" width="15.42578125" style="3" customWidth="1"/>
    <col min="6660" max="6676" width="9.140625" style="3" customWidth="1"/>
    <col min="6677" max="6912" width="9" style="3"/>
    <col min="6913" max="6913" width="5.140625" style="3" customWidth="1"/>
    <col min="6914" max="6914" width="19" style="3" customWidth="1"/>
    <col min="6915" max="6915" width="15.42578125" style="3" customWidth="1"/>
    <col min="6916" max="6932" width="9.140625" style="3" customWidth="1"/>
    <col min="6933" max="7168" width="9" style="3"/>
    <col min="7169" max="7169" width="5.140625" style="3" customWidth="1"/>
    <col min="7170" max="7170" width="19" style="3" customWidth="1"/>
    <col min="7171" max="7171" width="15.42578125" style="3" customWidth="1"/>
    <col min="7172" max="7188" width="9.140625" style="3" customWidth="1"/>
    <col min="7189" max="7424" width="9" style="3"/>
    <col min="7425" max="7425" width="5.140625" style="3" customWidth="1"/>
    <col min="7426" max="7426" width="19" style="3" customWidth="1"/>
    <col min="7427" max="7427" width="15.42578125" style="3" customWidth="1"/>
    <col min="7428" max="7444" width="9.140625" style="3" customWidth="1"/>
    <col min="7445" max="7680" width="9" style="3"/>
    <col min="7681" max="7681" width="5.140625" style="3" customWidth="1"/>
    <col min="7682" max="7682" width="19" style="3" customWidth="1"/>
    <col min="7683" max="7683" width="15.42578125" style="3" customWidth="1"/>
    <col min="7684" max="7700" width="9.140625" style="3" customWidth="1"/>
    <col min="7701" max="7936" width="9" style="3"/>
    <col min="7937" max="7937" width="5.140625" style="3" customWidth="1"/>
    <col min="7938" max="7938" width="19" style="3" customWidth="1"/>
    <col min="7939" max="7939" width="15.42578125" style="3" customWidth="1"/>
    <col min="7940" max="7956" width="9.140625" style="3" customWidth="1"/>
    <col min="7957" max="8192" width="9" style="3"/>
    <col min="8193" max="8193" width="5.140625" style="3" customWidth="1"/>
    <col min="8194" max="8194" width="19" style="3" customWidth="1"/>
    <col min="8195" max="8195" width="15.42578125" style="3" customWidth="1"/>
    <col min="8196" max="8212" width="9.140625" style="3" customWidth="1"/>
    <col min="8213" max="8448" width="9" style="3"/>
    <col min="8449" max="8449" width="5.140625" style="3" customWidth="1"/>
    <col min="8450" max="8450" width="19" style="3" customWidth="1"/>
    <col min="8451" max="8451" width="15.42578125" style="3" customWidth="1"/>
    <col min="8452" max="8468" width="9.140625" style="3" customWidth="1"/>
    <col min="8469" max="8704" width="9" style="3"/>
    <col min="8705" max="8705" width="5.140625" style="3" customWidth="1"/>
    <col min="8706" max="8706" width="19" style="3" customWidth="1"/>
    <col min="8707" max="8707" width="15.42578125" style="3" customWidth="1"/>
    <col min="8708" max="8724" width="9.140625" style="3" customWidth="1"/>
    <col min="8725" max="8960" width="9" style="3"/>
    <col min="8961" max="8961" width="5.140625" style="3" customWidth="1"/>
    <col min="8962" max="8962" width="19" style="3" customWidth="1"/>
    <col min="8963" max="8963" width="15.42578125" style="3" customWidth="1"/>
    <col min="8964" max="8980" width="9.140625" style="3" customWidth="1"/>
    <col min="8981" max="9216" width="9" style="3"/>
    <col min="9217" max="9217" width="5.140625" style="3" customWidth="1"/>
    <col min="9218" max="9218" width="19" style="3" customWidth="1"/>
    <col min="9219" max="9219" width="15.42578125" style="3" customWidth="1"/>
    <col min="9220" max="9236" width="9.140625" style="3" customWidth="1"/>
    <col min="9237" max="9472" width="9" style="3"/>
    <col min="9473" max="9473" width="5.140625" style="3" customWidth="1"/>
    <col min="9474" max="9474" width="19" style="3" customWidth="1"/>
    <col min="9475" max="9475" width="15.42578125" style="3" customWidth="1"/>
    <col min="9476" max="9492" width="9.140625" style="3" customWidth="1"/>
    <col min="9493" max="9728" width="9" style="3"/>
    <col min="9729" max="9729" width="5.140625" style="3" customWidth="1"/>
    <col min="9730" max="9730" width="19" style="3" customWidth="1"/>
    <col min="9731" max="9731" width="15.42578125" style="3" customWidth="1"/>
    <col min="9732" max="9748" width="9.140625" style="3" customWidth="1"/>
    <col min="9749" max="9984" width="9" style="3"/>
    <col min="9985" max="9985" width="5.140625" style="3" customWidth="1"/>
    <col min="9986" max="9986" width="19" style="3" customWidth="1"/>
    <col min="9987" max="9987" width="15.42578125" style="3" customWidth="1"/>
    <col min="9988" max="10004" width="9.140625" style="3" customWidth="1"/>
    <col min="10005" max="10240" width="9" style="3"/>
    <col min="10241" max="10241" width="5.140625" style="3" customWidth="1"/>
    <col min="10242" max="10242" width="19" style="3" customWidth="1"/>
    <col min="10243" max="10243" width="15.42578125" style="3" customWidth="1"/>
    <col min="10244" max="10260" width="9.140625" style="3" customWidth="1"/>
    <col min="10261" max="10496" width="9" style="3"/>
    <col min="10497" max="10497" width="5.140625" style="3" customWidth="1"/>
    <col min="10498" max="10498" width="19" style="3" customWidth="1"/>
    <col min="10499" max="10499" width="15.42578125" style="3" customWidth="1"/>
    <col min="10500" max="10516" width="9.140625" style="3" customWidth="1"/>
    <col min="10517" max="10752" width="9" style="3"/>
    <col min="10753" max="10753" width="5.140625" style="3" customWidth="1"/>
    <col min="10754" max="10754" width="19" style="3" customWidth="1"/>
    <col min="10755" max="10755" width="15.42578125" style="3" customWidth="1"/>
    <col min="10756" max="10772" width="9.140625" style="3" customWidth="1"/>
    <col min="10773" max="11008" width="9" style="3"/>
    <col min="11009" max="11009" width="5.140625" style="3" customWidth="1"/>
    <col min="11010" max="11010" width="19" style="3" customWidth="1"/>
    <col min="11011" max="11011" width="15.42578125" style="3" customWidth="1"/>
    <col min="11012" max="11028" width="9.140625" style="3" customWidth="1"/>
    <col min="11029" max="11264" width="9" style="3"/>
    <col min="11265" max="11265" width="5.140625" style="3" customWidth="1"/>
    <col min="11266" max="11266" width="19" style="3" customWidth="1"/>
    <col min="11267" max="11267" width="15.42578125" style="3" customWidth="1"/>
    <col min="11268" max="11284" width="9.140625" style="3" customWidth="1"/>
    <col min="11285" max="11520" width="9" style="3"/>
    <col min="11521" max="11521" width="5.140625" style="3" customWidth="1"/>
    <col min="11522" max="11522" width="19" style="3" customWidth="1"/>
    <col min="11523" max="11523" width="15.42578125" style="3" customWidth="1"/>
    <col min="11524" max="11540" width="9.140625" style="3" customWidth="1"/>
    <col min="11541" max="11776" width="9" style="3"/>
    <col min="11777" max="11777" width="5.140625" style="3" customWidth="1"/>
    <col min="11778" max="11778" width="19" style="3" customWidth="1"/>
    <col min="11779" max="11779" width="15.42578125" style="3" customWidth="1"/>
    <col min="11780" max="11796" width="9.140625" style="3" customWidth="1"/>
    <col min="11797" max="12032" width="9" style="3"/>
    <col min="12033" max="12033" width="5.140625" style="3" customWidth="1"/>
    <col min="12034" max="12034" width="19" style="3" customWidth="1"/>
    <col min="12035" max="12035" width="15.42578125" style="3" customWidth="1"/>
    <col min="12036" max="12052" width="9.140625" style="3" customWidth="1"/>
    <col min="12053" max="12288" width="9" style="3"/>
    <col min="12289" max="12289" width="5.140625" style="3" customWidth="1"/>
    <col min="12290" max="12290" width="19" style="3" customWidth="1"/>
    <col min="12291" max="12291" width="15.42578125" style="3" customWidth="1"/>
    <col min="12292" max="12308" width="9.140625" style="3" customWidth="1"/>
    <col min="12309" max="12544" width="9" style="3"/>
    <col min="12545" max="12545" width="5.140625" style="3" customWidth="1"/>
    <col min="12546" max="12546" width="19" style="3" customWidth="1"/>
    <col min="12547" max="12547" width="15.42578125" style="3" customWidth="1"/>
    <col min="12548" max="12564" width="9.140625" style="3" customWidth="1"/>
    <col min="12565" max="12800" width="9" style="3"/>
    <col min="12801" max="12801" width="5.140625" style="3" customWidth="1"/>
    <col min="12802" max="12802" width="19" style="3" customWidth="1"/>
    <col min="12803" max="12803" width="15.42578125" style="3" customWidth="1"/>
    <col min="12804" max="12820" width="9.140625" style="3" customWidth="1"/>
    <col min="12821" max="13056" width="9" style="3"/>
    <col min="13057" max="13057" width="5.140625" style="3" customWidth="1"/>
    <col min="13058" max="13058" width="19" style="3" customWidth="1"/>
    <col min="13059" max="13059" width="15.42578125" style="3" customWidth="1"/>
    <col min="13060" max="13076" width="9.140625" style="3" customWidth="1"/>
    <col min="13077" max="13312" width="9" style="3"/>
    <col min="13313" max="13313" width="5.140625" style="3" customWidth="1"/>
    <col min="13314" max="13314" width="19" style="3" customWidth="1"/>
    <col min="13315" max="13315" width="15.42578125" style="3" customWidth="1"/>
    <col min="13316" max="13332" width="9.140625" style="3" customWidth="1"/>
    <col min="13333" max="13568" width="9" style="3"/>
    <col min="13569" max="13569" width="5.140625" style="3" customWidth="1"/>
    <col min="13570" max="13570" width="19" style="3" customWidth="1"/>
    <col min="13571" max="13571" width="15.42578125" style="3" customWidth="1"/>
    <col min="13572" max="13588" width="9.140625" style="3" customWidth="1"/>
    <col min="13589" max="13824" width="9" style="3"/>
    <col min="13825" max="13825" width="5.140625" style="3" customWidth="1"/>
    <col min="13826" max="13826" width="19" style="3" customWidth="1"/>
    <col min="13827" max="13827" width="15.42578125" style="3" customWidth="1"/>
    <col min="13828" max="13844" width="9.140625" style="3" customWidth="1"/>
    <col min="13845" max="14080" width="9" style="3"/>
    <col min="14081" max="14081" width="5.140625" style="3" customWidth="1"/>
    <col min="14082" max="14082" width="19" style="3" customWidth="1"/>
    <col min="14083" max="14083" width="15.42578125" style="3" customWidth="1"/>
    <col min="14084" max="14100" width="9.140625" style="3" customWidth="1"/>
    <col min="14101" max="14336" width="9" style="3"/>
    <col min="14337" max="14337" width="5.140625" style="3" customWidth="1"/>
    <col min="14338" max="14338" width="19" style="3" customWidth="1"/>
    <col min="14339" max="14339" width="15.42578125" style="3" customWidth="1"/>
    <col min="14340" max="14356" width="9.140625" style="3" customWidth="1"/>
    <col min="14357" max="14592" width="9" style="3"/>
    <col min="14593" max="14593" width="5.140625" style="3" customWidth="1"/>
    <col min="14594" max="14594" width="19" style="3" customWidth="1"/>
    <col min="14595" max="14595" width="15.42578125" style="3" customWidth="1"/>
    <col min="14596" max="14612" width="9.140625" style="3" customWidth="1"/>
    <col min="14613" max="14848" width="9" style="3"/>
    <col min="14849" max="14849" width="5.140625" style="3" customWidth="1"/>
    <col min="14850" max="14850" width="19" style="3" customWidth="1"/>
    <col min="14851" max="14851" width="15.42578125" style="3" customWidth="1"/>
    <col min="14852" max="14868" width="9.140625" style="3" customWidth="1"/>
    <col min="14869" max="15104" width="9" style="3"/>
    <col min="15105" max="15105" width="5.140625" style="3" customWidth="1"/>
    <col min="15106" max="15106" width="19" style="3" customWidth="1"/>
    <col min="15107" max="15107" width="15.42578125" style="3" customWidth="1"/>
    <col min="15108" max="15124" width="9.140625" style="3" customWidth="1"/>
    <col min="15125" max="15360" width="9" style="3"/>
    <col min="15361" max="15361" width="5.140625" style="3" customWidth="1"/>
    <col min="15362" max="15362" width="19" style="3" customWidth="1"/>
    <col min="15363" max="15363" width="15.42578125" style="3" customWidth="1"/>
    <col min="15364" max="15380" width="9.140625" style="3" customWidth="1"/>
    <col min="15381" max="15616" width="9" style="3"/>
    <col min="15617" max="15617" width="5.140625" style="3" customWidth="1"/>
    <col min="15618" max="15618" width="19" style="3" customWidth="1"/>
    <col min="15619" max="15619" width="15.42578125" style="3" customWidth="1"/>
    <col min="15620" max="15636" width="9.140625" style="3" customWidth="1"/>
    <col min="15637" max="15872" width="9" style="3"/>
    <col min="15873" max="15873" width="5.140625" style="3" customWidth="1"/>
    <col min="15874" max="15874" width="19" style="3" customWidth="1"/>
    <col min="15875" max="15875" width="15.42578125" style="3" customWidth="1"/>
    <col min="15876" max="15892" width="9.140625" style="3" customWidth="1"/>
    <col min="15893" max="16128" width="9" style="3"/>
    <col min="16129" max="16129" width="5.140625" style="3" customWidth="1"/>
    <col min="16130" max="16130" width="19" style="3" customWidth="1"/>
    <col min="16131" max="16131" width="15.42578125" style="3" customWidth="1"/>
    <col min="16132" max="16148" width="9.140625" style="3" customWidth="1"/>
    <col min="16149" max="16384" width="9" style="3"/>
  </cols>
  <sheetData>
    <row r="1" spans="1:22" ht="34.5" thickBot="1" x14ac:dyDescent="0.3">
      <c r="A1" s="170" t="s">
        <v>69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2"/>
      <c r="U1" s="1"/>
      <c r="V1" s="1"/>
    </row>
    <row r="2" spans="1:22" ht="163.5" customHeight="1" thickBot="1" x14ac:dyDescent="0.3">
      <c r="A2" s="4" t="s">
        <v>0</v>
      </c>
      <c r="B2" s="5" t="s">
        <v>1</v>
      </c>
      <c r="C2" s="6" t="s">
        <v>2</v>
      </c>
      <c r="D2" s="7" t="s">
        <v>70</v>
      </c>
      <c r="E2" s="8" t="s">
        <v>71</v>
      </c>
      <c r="F2" s="7" t="s">
        <v>80</v>
      </c>
      <c r="G2" s="7" t="s">
        <v>81</v>
      </c>
      <c r="H2" s="7" t="s">
        <v>96</v>
      </c>
      <c r="I2" s="7" t="s">
        <v>95</v>
      </c>
      <c r="J2" s="8" t="s">
        <v>116</v>
      </c>
      <c r="K2" s="8" t="s">
        <v>117</v>
      </c>
      <c r="L2" s="8"/>
      <c r="M2" s="8"/>
      <c r="N2" s="8"/>
      <c r="O2" s="8"/>
      <c r="P2" s="8"/>
      <c r="Q2" s="8"/>
      <c r="R2" s="7"/>
      <c r="S2" s="7"/>
      <c r="T2" s="9" t="s">
        <v>3</v>
      </c>
      <c r="U2" s="10"/>
      <c r="V2" s="10"/>
    </row>
    <row r="3" spans="1:22" ht="15.75" thickBot="1" x14ac:dyDescent="0.3">
      <c r="A3" s="125" t="s">
        <v>4</v>
      </c>
      <c r="B3" s="126" t="s">
        <v>128</v>
      </c>
      <c r="C3" s="127" t="s">
        <v>19</v>
      </c>
      <c r="D3" s="128"/>
      <c r="E3" s="129"/>
      <c r="F3" s="129"/>
      <c r="G3" s="129"/>
      <c r="H3" s="129"/>
      <c r="I3" s="129"/>
      <c r="J3" s="129"/>
      <c r="K3" s="81">
        <f>100-(74.28-74.28)/74.28*50</f>
        <v>100</v>
      </c>
      <c r="L3" s="130"/>
      <c r="M3" s="131"/>
      <c r="N3" s="130"/>
      <c r="O3" s="130"/>
      <c r="P3" s="130"/>
      <c r="Q3" s="130"/>
      <c r="R3" s="130"/>
      <c r="S3" s="132"/>
      <c r="T3" s="133">
        <f>SUM(D3:S3)</f>
        <v>100</v>
      </c>
    </row>
    <row r="4" spans="1:22" x14ac:dyDescent="0.25">
      <c r="A4" s="2"/>
      <c r="B4" s="2"/>
      <c r="C4" s="2"/>
      <c r="D4" s="49"/>
      <c r="E4" s="49"/>
      <c r="F4" s="50"/>
      <c r="G4" s="49"/>
      <c r="H4" s="49"/>
      <c r="I4" s="49"/>
      <c r="J4" s="49"/>
      <c r="K4" s="49"/>
      <c r="L4" s="49"/>
      <c r="M4" s="50"/>
      <c r="N4" s="49"/>
      <c r="O4" s="50"/>
      <c r="P4" s="50"/>
      <c r="Q4" s="50"/>
      <c r="R4" s="50"/>
      <c r="S4" s="49"/>
      <c r="T4" s="52"/>
    </row>
    <row r="5" spans="1:22" x14ac:dyDescent="0.25">
      <c r="A5" s="2"/>
      <c r="B5" s="2"/>
      <c r="C5" s="2"/>
      <c r="D5" s="49"/>
      <c r="E5" s="49"/>
      <c r="F5" s="50"/>
      <c r="G5" s="49"/>
      <c r="H5" s="49"/>
      <c r="I5" s="49"/>
      <c r="J5" s="49"/>
      <c r="K5" s="49"/>
      <c r="L5" s="49"/>
      <c r="M5" s="50"/>
      <c r="N5" s="49"/>
      <c r="O5" s="50"/>
      <c r="P5" s="50"/>
      <c r="Q5" s="50"/>
      <c r="R5" s="50"/>
      <c r="S5" s="49"/>
      <c r="T5" s="52"/>
    </row>
    <row r="6" spans="1:22" x14ac:dyDescent="0.25">
      <c r="A6" s="2"/>
      <c r="B6" s="2"/>
      <c r="C6" s="2"/>
      <c r="D6" s="53"/>
      <c r="E6" s="2"/>
      <c r="F6" s="53"/>
      <c r="G6" s="2"/>
      <c r="H6" s="2"/>
      <c r="I6" s="2"/>
      <c r="J6" s="53"/>
      <c r="K6" s="53"/>
      <c r="L6" s="2"/>
      <c r="M6" s="94"/>
      <c r="N6" s="2"/>
      <c r="O6" s="2"/>
      <c r="P6" s="2"/>
      <c r="Q6" s="2"/>
      <c r="R6" s="2"/>
      <c r="S6" s="2"/>
      <c r="T6" s="2"/>
    </row>
    <row r="7" spans="1:22" s="54" customFormat="1" x14ac:dyDescent="0.25">
      <c r="A7" s="54" t="s">
        <v>36</v>
      </c>
    </row>
    <row r="8" spans="1:22" s="55" customFormat="1" x14ac:dyDescent="0.25">
      <c r="A8" s="55" t="s">
        <v>37</v>
      </c>
    </row>
    <row r="9" spans="1:22" x14ac:dyDescent="0.25">
      <c r="A9" s="2"/>
      <c r="B9" s="2"/>
      <c r="C9" s="2"/>
      <c r="D9" s="2"/>
      <c r="E9" s="2"/>
      <c r="F9" s="53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2" x14ac:dyDescent="0.25">
      <c r="A10" s="2"/>
      <c r="B10" s="2"/>
      <c r="C10" s="2"/>
      <c r="D10" s="2"/>
      <c r="E10" s="2"/>
      <c r="F10" s="53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2" x14ac:dyDescent="0.25">
      <c r="A11" s="2"/>
      <c r="B11" s="2"/>
      <c r="C11" s="2"/>
      <c r="D11" s="2"/>
      <c r="E11" s="2"/>
      <c r="F11" s="53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2" x14ac:dyDescent="0.25">
      <c r="A12" s="2"/>
      <c r="B12" s="2"/>
      <c r="C12" s="2"/>
      <c r="D12" s="2"/>
      <c r="E12" s="2"/>
      <c r="F12" s="53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2" x14ac:dyDescent="0.25">
      <c r="A13" s="2"/>
      <c r="B13" s="2"/>
      <c r="C13" s="2"/>
      <c r="D13" s="2"/>
      <c r="E13" s="2"/>
      <c r="F13" s="53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2" x14ac:dyDescent="0.25">
      <c r="A14" s="2"/>
      <c r="B14" s="2"/>
      <c r="C14" s="2"/>
      <c r="D14" s="2"/>
      <c r="E14" s="2"/>
      <c r="F14" s="53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2" s="2" customFormat="1" x14ac:dyDescent="0.25">
      <c r="F15" s="53"/>
    </row>
    <row r="16" spans="1:22" s="2" customFormat="1" x14ac:dyDescent="0.25">
      <c r="F16" s="53"/>
    </row>
    <row r="17" spans="6:6" s="2" customFormat="1" x14ac:dyDescent="0.25">
      <c r="F17" s="53"/>
    </row>
    <row r="18" spans="6:6" s="2" customFormat="1" x14ac:dyDescent="0.25">
      <c r="F18" s="53"/>
    </row>
    <row r="19" spans="6:6" s="2" customFormat="1" x14ac:dyDescent="0.25">
      <c r="F19" s="53"/>
    </row>
    <row r="20" spans="6:6" s="2" customFormat="1" x14ac:dyDescent="0.25">
      <c r="F20" s="53"/>
    </row>
    <row r="21" spans="6:6" s="2" customFormat="1" x14ac:dyDescent="0.25">
      <c r="F21" s="53"/>
    </row>
    <row r="22" spans="6:6" s="2" customFormat="1" x14ac:dyDescent="0.25">
      <c r="F22" s="53"/>
    </row>
    <row r="23" spans="6:6" s="2" customFormat="1" x14ac:dyDescent="0.25">
      <c r="F23" s="53"/>
    </row>
    <row r="24" spans="6:6" s="2" customFormat="1" x14ac:dyDescent="0.25">
      <c r="F24" s="53"/>
    </row>
    <row r="25" spans="6:6" s="2" customFormat="1" x14ac:dyDescent="0.25">
      <c r="F25" s="53"/>
    </row>
    <row r="26" spans="6:6" s="2" customFormat="1" x14ac:dyDescent="0.25">
      <c r="F26" s="53"/>
    </row>
    <row r="27" spans="6:6" s="2" customFormat="1" x14ac:dyDescent="0.25">
      <c r="F27" s="53"/>
    </row>
    <row r="28" spans="6:6" s="2" customFormat="1" x14ac:dyDescent="0.25">
      <c r="F28" s="53"/>
    </row>
    <row r="29" spans="6:6" s="2" customFormat="1" x14ac:dyDescent="0.25">
      <c r="F29" s="53"/>
    </row>
    <row r="30" spans="6:6" s="2" customFormat="1" x14ac:dyDescent="0.25">
      <c r="F30" s="53"/>
    </row>
    <row r="31" spans="6:6" s="2" customFormat="1" x14ac:dyDescent="0.25">
      <c r="F31" s="53"/>
    </row>
    <row r="32" spans="6:6" s="2" customFormat="1" x14ac:dyDescent="0.25">
      <c r="F32" s="53"/>
    </row>
  </sheetData>
  <mergeCells count="1">
    <mergeCell ref="A1:T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workbookViewId="0">
      <selection activeCell="K4" sqref="K4"/>
    </sheetView>
  </sheetViews>
  <sheetFormatPr defaultColWidth="9" defaultRowHeight="15" x14ac:dyDescent="0.25"/>
  <cols>
    <col min="1" max="1" width="5.140625" style="3" customWidth="1"/>
    <col min="2" max="2" width="21.5703125" style="3" customWidth="1"/>
    <col min="3" max="3" width="19.140625" style="3" customWidth="1"/>
    <col min="4" max="5" width="9.140625" style="3" customWidth="1"/>
    <col min="6" max="6" width="9.140625" style="56" customWidth="1"/>
    <col min="7" max="20" width="9.140625" style="3" customWidth="1"/>
    <col min="21" max="31" width="9" style="2"/>
    <col min="32" max="256" width="9" style="3"/>
    <col min="257" max="257" width="5.140625" style="3" customWidth="1"/>
    <col min="258" max="258" width="21.5703125" style="3" customWidth="1"/>
    <col min="259" max="259" width="19.140625" style="3" customWidth="1"/>
    <col min="260" max="276" width="9.140625" style="3" customWidth="1"/>
    <col min="277" max="512" width="9" style="3"/>
    <col min="513" max="513" width="5.140625" style="3" customWidth="1"/>
    <col min="514" max="514" width="21.5703125" style="3" customWidth="1"/>
    <col min="515" max="515" width="19.140625" style="3" customWidth="1"/>
    <col min="516" max="532" width="9.140625" style="3" customWidth="1"/>
    <col min="533" max="768" width="9" style="3"/>
    <col min="769" max="769" width="5.140625" style="3" customWidth="1"/>
    <col min="770" max="770" width="21.5703125" style="3" customWidth="1"/>
    <col min="771" max="771" width="19.140625" style="3" customWidth="1"/>
    <col min="772" max="788" width="9.140625" style="3" customWidth="1"/>
    <col min="789" max="1024" width="9" style="3"/>
    <col min="1025" max="1025" width="5.140625" style="3" customWidth="1"/>
    <col min="1026" max="1026" width="21.5703125" style="3" customWidth="1"/>
    <col min="1027" max="1027" width="19.140625" style="3" customWidth="1"/>
    <col min="1028" max="1044" width="9.140625" style="3" customWidth="1"/>
    <col min="1045" max="1280" width="9" style="3"/>
    <col min="1281" max="1281" width="5.140625" style="3" customWidth="1"/>
    <col min="1282" max="1282" width="21.5703125" style="3" customWidth="1"/>
    <col min="1283" max="1283" width="19.140625" style="3" customWidth="1"/>
    <col min="1284" max="1300" width="9.140625" style="3" customWidth="1"/>
    <col min="1301" max="1536" width="9" style="3"/>
    <col min="1537" max="1537" width="5.140625" style="3" customWidth="1"/>
    <col min="1538" max="1538" width="21.5703125" style="3" customWidth="1"/>
    <col min="1539" max="1539" width="19.140625" style="3" customWidth="1"/>
    <col min="1540" max="1556" width="9.140625" style="3" customWidth="1"/>
    <col min="1557" max="1792" width="9" style="3"/>
    <col min="1793" max="1793" width="5.140625" style="3" customWidth="1"/>
    <col min="1794" max="1794" width="21.5703125" style="3" customWidth="1"/>
    <col min="1795" max="1795" width="19.140625" style="3" customWidth="1"/>
    <col min="1796" max="1812" width="9.140625" style="3" customWidth="1"/>
    <col min="1813" max="2048" width="9" style="3"/>
    <col min="2049" max="2049" width="5.140625" style="3" customWidth="1"/>
    <col min="2050" max="2050" width="21.5703125" style="3" customWidth="1"/>
    <col min="2051" max="2051" width="19.140625" style="3" customWidth="1"/>
    <col min="2052" max="2068" width="9.140625" style="3" customWidth="1"/>
    <col min="2069" max="2304" width="9" style="3"/>
    <col min="2305" max="2305" width="5.140625" style="3" customWidth="1"/>
    <col min="2306" max="2306" width="21.5703125" style="3" customWidth="1"/>
    <col min="2307" max="2307" width="19.140625" style="3" customWidth="1"/>
    <col min="2308" max="2324" width="9.140625" style="3" customWidth="1"/>
    <col min="2325" max="2560" width="9" style="3"/>
    <col min="2561" max="2561" width="5.140625" style="3" customWidth="1"/>
    <col min="2562" max="2562" width="21.5703125" style="3" customWidth="1"/>
    <col min="2563" max="2563" width="19.140625" style="3" customWidth="1"/>
    <col min="2564" max="2580" width="9.140625" style="3" customWidth="1"/>
    <col min="2581" max="2816" width="9" style="3"/>
    <col min="2817" max="2817" width="5.140625" style="3" customWidth="1"/>
    <col min="2818" max="2818" width="21.5703125" style="3" customWidth="1"/>
    <col min="2819" max="2819" width="19.140625" style="3" customWidth="1"/>
    <col min="2820" max="2836" width="9.140625" style="3" customWidth="1"/>
    <col min="2837" max="3072" width="9" style="3"/>
    <col min="3073" max="3073" width="5.140625" style="3" customWidth="1"/>
    <col min="3074" max="3074" width="21.5703125" style="3" customWidth="1"/>
    <col min="3075" max="3075" width="19.140625" style="3" customWidth="1"/>
    <col min="3076" max="3092" width="9.140625" style="3" customWidth="1"/>
    <col min="3093" max="3328" width="9" style="3"/>
    <col min="3329" max="3329" width="5.140625" style="3" customWidth="1"/>
    <col min="3330" max="3330" width="21.5703125" style="3" customWidth="1"/>
    <col min="3331" max="3331" width="19.140625" style="3" customWidth="1"/>
    <col min="3332" max="3348" width="9.140625" style="3" customWidth="1"/>
    <col min="3349" max="3584" width="9" style="3"/>
    <col min="3585" max="3585" width="5.140625" style="3" customWidth="1"/>
    <col min="3586" max="3586" width="21.5703125" style="3" customWidth="1"/>
    <col min="3587" max="3587" width="19.140625" style="3" customWidth="1"/>
    <col min="3588" max="3604" width="9.140625" style="3" customWidth="1"/>
    <col min="3605" max="3840" width="9" style="3"/>
    <col min="3841" max="3841" width="5.140625" style="3" customWidth="1"/>
    <col min="3842" max="3842" width="21.5703125" style="3" customWidth="1"/>
    <col min="3843" max="3843" width="19.140625" style="3" customWidth="1"/>
    <col min="3844" max="3860" width="9.140625" style="3" customWidth="1"/>
    <col min="3861" max="4096" width="9" style="3"/>
    <col min="4097" max="4097" width="5.140625" style="3" customWidth="1"/>
    <col min="4098" max="4098" width="21.5703125" style="3" customWidth="1"/>
    <col min="4099" max="4099" width="19.140625" style="3" customWidth="1"/>
    <col min="4100" max="4116" width="9.140625" style="3" customWidth="1"/>
    <col min="4117" max="4352" width="9" style="3"/>
    <col min="4353" max="4353" width="5.140625" style="3" customWidth="1"/>
    <col min="4354" max="4354" width="21.5703125" style="3" customWidth="1"/>
    <col min="4355" max="4355" width="19.140625" style="3" customWidth="1"/>
    <col min="4356" max="4372" width="9.140625" style="3" customWidth="1"/>
    <col min="4373" max="4608" width="9" style="3"/>
    <col min="4609" max="4609" width="5.140625" style="3" customWidth="1"/>
    <col min="4610" max="4610" width="21.5703125" style="3" customWidth="1"/>
    <col min="4611" max="4611" width="19.140625" style="3" customWidth="1"/>
    <col min="4612" max="4628" width="9.140625" style="3" customWidth="1"/>
    <col min="4629" max="4864" width="9" style="3"/>
    <col min="4865" max="4865" width="5.140625" style="3" customWidth="1"/>
    <col min="4866" max="4866" width="21.5703125" style="3" customWidth="1"/>
    <col min="4867" max="4867" width="19.140625" style="3" customWidth="1"/>
    <col min="4868" max="4884" width="9.140625" style="3" customWidth="1"/>
    <col min="4885" max="5120" width="9" style="3"/>
    <col min="5121" max="5121" width="5.140625" style="3" customWidth="1"/>
    <col min="5122" max="5122" width="21.5703125" style="3" customWidth="1"/>
    <col min="5123" max="5123" width="19.140625" style="3" customWidth="1"/>
    <col min="5124" max="5140" width="9.140625" style="3" customWidth="1"/>
    <col min="5141" max="5376" width="9" style="3"/>
    <col min="5377" max="5377" width="5.140625" style="3" customWidth="1"/>
    <col min="5378" max="5378" width="21.5703125" style="3" customWidth="1"/>
    <col min="5379" max="5379" width="19.140625" style="3" customWidth="1"/>
    <col min="5380" max="5396" width="9.140625" style="3" customWidth="1"/>
    <col min="5397" max="5632" width="9" style="3"/>
    <col min="5633" max="5633" width="5.140625" style="3" customWidth="1"/>
    <col min="5634" max="5634" width="21.5703125" style="3" customWidth="1"/>
    <col min="5635" max="5635" width="19.140625" style="3" customWidth="1"/>
    <col min="5636" max="5652" width="9.140625" style="3" customWidth="1"/>
    <col min="5653" max="5888" width="9" style="3"/>
    <col min="5889" max="5889" width="5.140625" style="3" customWidth="1"/>
    <col min="5890" max="5890" width="21.5703125" style="3" customWidth="1"/>
    <col min="5891" max="5891" width="19.140625" style="3" customWidth="1"/>
    <col min="5892" max="5908" width="9.140625" style="3" customWidth="1"/>
    <col min="5909" max="6144" width="9" style="3"/>
    <col min="6145" max="6145" width="5.140625" style="3" customWidth="1"/>
    <col min="6146" max="6146" width="21.5703125" style="3" customWidth="1"/>
    <col min="6147" max="6147" width="19.140625" style="3" customWidth="1"/>
    <col min="6148" max="6164" width="9.140625" style="3" customWidth="1"/>
    <col min="6165" max="6400" width="9" style="3"/>
    <col min="6401" max="6401" width="5.140625" style="3" customWidth="1"/>
    <col min="6402" max="6402" width="21.5703125" style="3" customWidth="1"/>
    <col min="6403" max="6403" width="19.140625" style="3" customWidth="1"/>
    <col min="6404" max="6420" width="9.140625" style="3" customWidth="1"/>
    <col min="6421" max="6656" width="9" style="3"/>
    <col min="6657" max="6657" width="5.140625" style="3" customWidth="1"/>
    <col min="6658" max="6658" width="21.5703125" style="3" customWidth="1"/>
    <col min="6659" max="6659" width="19.140625" style="3" customWidth="1"/>
    <col min="6660" max="6676" width="9.140625" style="3" customWidth="1"/>
    <col min="6677" max="6912" width="9" style="3"/>
    <col min="6913" max="6913" width="5.140625" style="3" customWidth="1"/>
    <col min="6914" max="6914" width="21.5703125" style="3" customWidth="1"/>
    <col min="6915" max="6915" width="19.140625" style="3" customWidth="1"/>
    <col min="6916" max="6932" width="9.140625" style="3" customWidth="1"/>
    <col min="6933" max="7168" width="9" style="3"/>
    <col min="7169" max="7169" width="5.140625" style="3" customWidth="1"/>
    <col min="7170" max="7170" width="21.5703125" style="3" customWidth="1"/>
    <col min="7171" max="7171" width="19.140625" style="3" customWidth="1"/>
    <col min="7172" max="7188" width="9.140625" style="3" customWidth="1"/>
    <col min="7189" max="7424" width="9" style="3"/>
    <col min="7425" max="7425" width="5.140625" style="3" customWidth="1"/>
    <col min="7426" max="7426" width="21.5703125" style="3" customWidth="1"/>
    <col min="7427" max="7427" width="19.140625" style="3" customWidth="1"/>
    <col min="7428" max="7444" width="9.140625" style="3" customWidth="1"/>
    <col min="7445" max="7680" width="9" style="3"/>
    <col min="7681" max="7681" width="5.140625" style="3" customWidth="1"/>
    <col min="7682" max="7682" width="21.5703125" style="3" customWidth="1"/>
    <col min="7683" max="7683" width="19.140625" style="3" customWidth="1"/>
    <col min="7684" max="7700" width="9.140625" style="3" customWidth="1"/>
    <col min="7701" max="7936" width="9" style="3"/>
    <col min="7937" max="7937" width="5.140625" style="3" customWidth="1"/>
    <col min="7938" max="7938" width="21.5703125" style="3" customWidth="1"/>
    <col min="7939" max="7939" width="19.140625" style="3" customWidth="1"/>
    <col min="7940" max="7956" width="9.140625" style="3" customWidth="1"/>
    <col min="7957" max="8192" width="9" style="3"/>
    <col min="8193" max="8193" width="5.140625" style="3" customWidth="1"/>
    <col min="8194" max="8194" width="21.5703125" style="3" customWidth="1"/>
    <col min="8195" max="8195" width="19.140625" style="3" customWidth="1"/>
    <col min="8196" max="8212" width="9.140625" style="3" customWidth="1"/>
    <col min="8213" max="8448" width="9" style="3"/>
    <col min="8449" max="8449" width="5.140625" style="3" customWidth="1"/>
    <col min="8450" max="8450" width="21.5703125" style="3" customWidth="1"/>
    <col min="8451" max="8451" width="19.140625" style="3" customWidth="1"/>
    <col min="8452" max="8468" width="9.140625" style="3" customWidth="1"/>
    <col min="8469" max="8704" width="9" style="3"/>
    <col min="8705" max="8705" width="5.140625" style="3" customWidth="1"/>
    <col min="8706" max="8706" width="21.5703125" style="3" customWidth="1"/>
    <col min="8707" max="8707" width="19.140625" style="3" customWidth="1"/>
    <col min="8708" max="8724" width="9.140625" style="3" customWidth="1"/>
    <col min="8725" max="8960" width="9" style="3"/>
    <col min="8961" max="8961" width="5.140625" style="3" customWidth="1"/>
    <col min="8962" max="8962" width="21.5703125" style="3" customWidth="1"/>
    <col min="8963" max="8963" width="19.140625" style="3" customWidth="1"/>
    <col min="8964" max="8980" width="9.140625" style="3" customWidth="1"/>
    <col min="8981" max="9216" width="9" style="3"/>
    <col min="9217" max="9217" width="5.140625" style="3" customWidth="1"/>
    <col min="9218" max="9218" width="21.5703125" style="3" customWidth="1"/>
    <col min="9219" max="9219" width="19.140625" style="3" customWidth="1"/>
    <col min="9220" max="9236" width="9.140625" style="3" customWidth="1"/>
    <col min="9237" max="9472" width="9" style="3"/>
    <col min="9473" max="9473" width="5.140625" style="3" customWidth="1"/>
    <col min="9474" max="9474" width="21.5703125" style="3" customWidth="1"/>
    <col min="9475" max="9475" width="19.140625" style="3" customWidth="1"/>
    <col min="9476" max="9492" width="9.140625" style="3" customWidth="1"/>
    <col min="9493" max="9728" width="9" style="3"/>
    <col min="9729" max="9729" width="5.140625" style="3" customWidth="1"/>
    <col min="9730" max="9730" width="21.5703125" style="3" customWidth="1"/>
    <col min="9731" max="9731" width="19.140625" style="3" customWidth="1"/>
    <col min="9732" max="9748" width="9.140625" style="3" customWidth="1"/>
    <col min="9749" max="9984" width="9" style="3"/>
    <col min="9985" max="9985" width="5.140625" style="3" customWidth="1"/>
    <col min="9986" max="9986" width="21.5703125" style="3" customWidth="1"/>
    <col min="9987" max="9987" width="19.140625" style="3" customWidth="1"/>
    <col min="9988" max="10004" width="9.140625" style="3" customWidth="1"/>
    <col min="10005" max="10240" width="9" style="3"/>
    <col min="10241" max="10241" width="5.140625" style="3" customWidth="1"/>
    <col min="10242" max="10242" width="21.5703125" style="3" customWidth="1"/>
    <col min="10243" max="10243" width="19.140625" style="3" customWidth="1"/>
    <col min="10244" max="10260" width="9.140625" style="3" customWidth="1"/>
    <col min="10261" max="10496" width="9" style="3"/>
    <col min="10497" max="10497" width="5.140625" style="3" customWidth="1"/>
    <col min="10498" max="10498" width="21.5703125" style="3" customWidth="1"/>
    <col min="10499" max="10499" width="19.140625" style="3" customWidth="1"/>
    <col min="10500" max="10516" width="9.140625" style="3" customWidth="1"/>
    <col min="10517" max="10752" width="9" style="3"/>
    <col min="10753" max="10753" width="5.140625" style="3" customWidth="1"/>
    <col min="10754" max="10754" width="21.5703125" style="3" customWidth="1"/>
    <col min="10755" max="10755" width="19.140625" style="3" customWidth="1"/>
    <col min="10756" max="10772" width="9.140625" style="3" customWidth="1"/>
    <col min="10773" max="11008" width="9" style="3"/>
    <col min="11009" max="11009" width="5.140625" style="3" customWidth="1"/>
    <col min="11010" max="11010" width="21.5703125" style="3" customWidth="1"/>
    <col min="11011" max="11011" width="19.140625" style="3" customWidth="1"/>
    <col min="11012" max="11028" width="9.140625" style="3" customWidth="1"/>
    <col min="11029" max="11264" width="9" style="3"/>
    <col min="11265" max="11265" width="5.140625" style="3" customWidth="1"/>
    <col min="11266" max="11266" width="21.5703125" style="3" customWidth="1"/>
    <col min="11267" max="11267" width="19.140625" style="3" customWidth="1"/>
    <col min="11268" max="11284" width="9.140625" style="3" customWidth="1"/>
    <col min="11285" max="11520" width="9" style="3"/>
    <col min="11521" max="11521" width="5.140625" style="3" customWidth="1"/>
    <col min="11522" max="11522" width="21.5703125" style="3" customWidth="1"/>
    <col min="11523" max="11523" width="19.140625" style="3" customWidth="1"/>
    <col min="11524" max="11540" width="9.140625" style="3" customWidth="1"/>
    <col min="11541" max="11776" width="9" style="3"/>
    <col min="11777" max="11777" width="5.140625" style="3" customWidth="1"/>
    <col min="11778" max="11778" width="21.5703125" style="3" customWidth="1"/>
    <col min="11779" max="11779" width="19.140625" style="3" customWidth="1"/>
    <col min="11780" max="11796" width="9.140625" style="3" customWidth="1"/>
    <col min="11797" max="12032" width="9" style="3"/>
    <col min="12033" max="12033" width="5.140625" style="3" customWidth="1"/>
    <col min="12034" max="12034" width="21.5703125" style="3" customWidth="1"/>
    <col min="12035" max="12035" width="19.140625" style="3" customWidth="1"/>
    <col min="12036" max="12052" width="9.140625" style="3" customWidth="1"/>
    <col min="12053" max="12288" width="9" style="3"/>
    <col min="12289" max="12289" width="5.140625" style="3" customWidth="1"/>
    <col min="12290" max="12290" width="21.5703125" style="3" customWidth="1"/>
    <col min="12291" max="12291" width="19.140625" style="3" customWidth="1"/>
    <col min="12292" max="12308" width="9.140625" style="3" customWidth="1"/>
    <col min="12309" max="12544" width="9" style="3"/>
    <col min="12545" max="12545" width="5.140625" style="3" customWidth="1"/>
    <col min="12546" max="12546" width="21.5703125" style="3" customWidth="1"/>
    <col min="12547" max="12547" width="19.140625" style="3" customWidth="1"/>
    <col min="12548" max="12564" width="9.140625" style="3" customWidth="1"/>
    <col min="12565" max="12800" width="9" style="3"/>
    <col min="12801" max="12801" width="5.140625" style="3" customWidth="1"/>
    <col min="12802" max="12802" width="21.5703125" style="3" customWidth="1"/>
    <col min="12803" max="12803" width="19.140625" style="3" customWidth="1"/>
    <col min="12804" max="12820" width="9.140625" style="3" customWidth="1"/>
    <col min="12821" max="13056" width="9" style="3"/>
    <col min="13057" max="13057" width="5.140625" style="3" customWidth="1"/>
    <col min="13058" max="13058" width="21.5703125" style="3" customWidth="1"/>
    <col min="13059" max="13059" width="19.140625" style="3" customWidth="1"/>
    <col min="13060" max="13076" width="9.140625" style="3" customWidth="1"/>
    <col min="13077" max="13312" width="9" style="3"/>
    <col min="13313" max="13313" width="5.140625" style="3" customWidth="1"/>
    <col min="13314" max="13314" width="21.5703125" style="3" customWidth="1"/>
    <col min="13315" max="13315" width="19.140625" style="3" customWidth="1"/>
    <col min="13316" max="13332" width="9.140625" style="3" customWidth="1"/>
    <col min="13333" max="13568" width="9" style="3"/>
    <col min="13569" max="13569" width="5.140625" style="3" customWidth="1"/>
    <col min="13570" max="13570" width="21.5703125" style="3" customWidth="1"/>
    <col min="13571" max="13571" width="19.140625" style="3" customWidth="1"/>
    <col min="13572" max="13588" width="9.140625" style="3" customWidth="1"/>
    <col min="13589" max="13824" width="9" style="3"/>
    <col min="13825" max="13825" width="5.140625" style="3" customWidth="1"/>
    <col min="13826" max="13826" width="21.5703125" style="3" customWidth="1"/>
    <col min="13827" max="13827" width="19.140625" style="3" customWidth="1"/>
    <col min="13828" max="13844" width="9.140625" style="3" customWidth="1"/>
    <col min="13845" max="14080" width="9" style="3"/>
    <col min="14081" max="14081" width="5.140625" style="3" customWidth="1"/>
    <col min="14082" max="14082" width="21.5703125" style="3" customWidth="1"/>
    <col min="14083" max="14083" width="19.140625" style="3" customWidth="1"/>
    <col min="14084" max="14100" width="9.140625" style="3" customWidth="1"/>
    <col min="14101" max="14336" width="9" style="3"/>
    <col min="14337" max="14337" width="5.140625" style="3" customWidth="1"/>
    <col min="14338" max="14338" width="21.5703125" style="3" customWidth="1"/>
    <col min="14339" max="14339" width="19.140625" style="3" customWidth="1"/>
    <col min="14340" max="14356" width="9.140625" style="3" customWidth="1"/>
    <col min="14357" max="14592" width="9" style="3"/>
    <col min="14593" max="14593" width="5.140625" style="3" customWidth="1"/>
    <col min="14594" max="14594" width="21.5703125" style="3" customWidth="1"/>
    <col min="14595" max="14595" width="19.140625" style="3" customWidth="1"/>
    <col min="14596" max="14612" width="9.140625" style="3" customWidth="1"/>
    <col min="14613" max="14848" width="9" style="3"/>
    <col min="14849" max="14849" width="5.140625" style="3" customWidth="1"/>
    <col min="14850" max="14850" width="21.5703125" style="3" customWidth="1"/>
    <col min="14851" max="14851" width="19.140625" style="3" customWidth="1"/>
    <col min="14852" max="14868" width="9.140625" style="3" customWidth="1"/>
    <col min="14869" max="15104" width="9" style="3"/>
    <col min="15105" max="15105" width="5.140625" style="3" customWidth="1"/>
    <col min="15106" max="15106" width="21.5703125" style="3" customWidth="1"/>
    <col min="15107" max="15107" width="19.140625" style="3" customWidth="1"/>
    <col min="15108" max="15124" width="9.140625" style="3" customWidth="1"/>
    <col min="15125" max="15360" width="9" style="3"/>
    <col min="15361" max="15361" width="5.140625" style="3" customWidth="1"/>
    <col min="15362" max="15362" width="21.5703125" style="3" customWidth="1"/>
    <col min="15363" max="15363" width="19.140625" style="3" customWidth="1"/>
    <col min="15364" max="15380" width="9.140625" style="3" customWidth="1"/>
    <col min="15381" max="15616" width="9" style="3"/>
    <col min="15617" max="15617" width="5.140625" style="3" customWidth="1"/>
    <col min="15618" max="15618" width="21.5703125" style="3" customWidth="1"/>
    <col min="15619" max="15619" width="19.140625" style="3" customWidth="1"/>
    <col min="15620" max="15636" width="9.140625" style="3" customWidth="1"/>
    <col min="15637" max="15872" width="9" style="3"/>
    <col min="15873" max="15873" width="5.140625" style="3" customWidth="1"/>
    <col min="15874" max="15874" width="21.5703125" style="3" customWidth="1"/>
    <col min="15875" max="15875" width="19.140625" style="3" customWidth="1"/>
    <col min="15876" max="15892" width="9.140625" style="3" customWidth="1"/>
    <col min="15893" max="16128" width="9" style="3"/>
    <col min="16129" max="16129" width="5.140625" style="3" customWidth="1"/>
    <col min="16130" max="16130" width="21.5703125" style="3" customWidth="1"/>
    <col min="16131" max="16131" width="19.140625" style="3" customWidth="1"/>
    <col min="16132" max="16148" width="9.140625" style="3" customWidth="1"/>
    <col min="16149" max="16384" width="9" style="3"/>
  </cols>
  <sheetData>
    <row r="1" spans="1:22" ht="34.5" thickBot="1" x14ac:dyDescent="0.3">
      <c r="A1" s="170" t="s">
        <v>69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2"/>
      <c r="U1" s="1"/>
      <c r="V1" s="1"/>
    </row>
    <row r="2" spans="1:22" ht="173.25" customHeight="1" thickBot="1" x14ac:dyDescent="0.3">
      <c r="A2" s="4" t="s">
        <v>0</v>
      </c>
      <c r="B2" s="5" t="s">
        <v>1</v>
      </c>
      <c r="C2" s="6" t="s">
        <v>2</v>
      </c>
      <c r="D2" s="7" t="s">
        <v>70</v>
      </c>
      <c r="E2" s="8" t="s">
        <v>71</v>
      </c>
      <c r="F2" s="7" t="s">
        <v>80</v>
      </c>
      <c r="G2" s="7" t="s">
        <v>81</v>
      </c>
      <c r="H2" s="7" t="s">
        <v>96</v>
      </c>
      <c r="I2" s="7" t="s">
        <v>95</v>
      </c>
      <c r="J2" s="8" t="s">
        <v>116</v>
      </c>
      <c r="K2" s="8" t="s">
        <v>117</v>
      </c>
      <c r="L2" s="8"/>
      <c r="M2" s="8"/>
      <c r="N2" s="8"/>
      <c r="O2" s="8"/>
      <c r="P2" s="8"/>
      <c r="Q2" s="8"/>
      <c r="R2" s="7"/>
      <c r="S2" s="7"/>
      <c r="T2" s="9" t="s">
        <v>3</v>
      </c>
      <c r="U2" s="10"/>
      <c r="V2" s="10"/>
    </row>
    <row r="3" spans="1:22" x14ac:dyDescent="0.25">
      <c r="A3" s="86" t="s">
        <v>4</v>
      </c>
      <c r="B3" s="23" t="s">
        <v>46</v>
      </c>
      <c r="C3" s="24" t="s">
        <v>19</v>
      </c>
      <c r="D3" s="137" t="s">
        <v>12</v>
      </c>
      <c r="E3" s="36"/>
      <c r="F3" s="67">
        <f>100-(36.72-36.72)/36.72*50</f>
        <v>100</v>
      </c>
      <c r="G3" s="17">
        <f>100-(104.38-104.38)/104.38*50</f>
        <v>100</v>
      </c>
      <c r="H3" s="81">
        <f>100-(64.73-64.73)/64.73*50</f>
        <v>100</v>
      </c>
      <c r="I3" s="81">
        <f>100-(115.6-115.6)/115.6*50</f>
        <v>100</v>
      </c>
      <c r="J3" s="81">
        <f>100-(35.57-35.57)/35.57*50</f>
        <v>100</v>
      </c>
      <c r="K3" s="18">
        <f>100-(103.32-90.05)/90.05*50</f>
        <v>92.631871182676292</v>
      </c>
      <c r="L3" s="71"/>
      <c r="M3" s="71"/>
      <c r="N3" s="57"/>
      <c r="O3" s="57"/>
      <c r="P3" s="17"/>
      <c r="Q3" s="57"/>
      <c r="R3" s="57"/>
      <c r="S3" s="15"/>
      <c r="T3" s="73">
        <f>SUM(D3:S3)</f>
        <v>592.63187118267626</v>
      </c>
    </row>
    <row r="4" spans="1:22" x14ac:dyDescent="0.25">
      <c r="A4" s="92" t="s">
        <v>6</v>
      </c>
      <c r="B4" s="23" t="s">
        <v>73</v>
      </c>
      <c r="C4" s="24" t="s">
        <v>74</v>
      </c>
      <c r="D4" s="140" t="s">
        <v>12</v>
      </c>
      <c r="E4" s="141"/>
      <c r="F4" s="19">
        <f>100-(55.37-36.72)/36.72*50</f>
        <v>74.605119825708059</v>
      </c>
      <c r="G4" s="145" t="s">
        <v>12</v>
      </c>
      <c r="H4" s="18">
        <f>100-(65.78-64.73)/64.73*50</f>
        <v>99.188938668314535</v>
      </c>
      <c r="I4" s="18">
        <f>100-(127.32-115.6)/115.6*50</f>
        <v>94.930795847750858</v>
      </c>
      <c r="J4" s="112"/>
      <c r="K4" s="18"/>
      <c r="L4" s="34"/>
      <c r="M4" s="18"/>
      <c r="N4" s="18"/>
      <c r="O4" s="34"/>
      <c r="P4" s="34"/>
      <c r="Q4" s="34"/>
      <c r="R4" s="18"/>
      <c r="S4" s="90"/>
      <c r="T4" s="73">
        <f>SUM(D4:S4)</f>
        <v>268.72485434177344</v>
      </c>
    </row>
    <row r="5" spans="1:22" x14ac:dyDescent="0.25">
      <c r="A5" s="92" t="s">
        <v>8</v>
      </c>
      <c r="B5" s="23" t="s">
        <v>127</v>
      </c>
      <c r="C5" s="24" t="s">
        <v>129</v>
      </c>
      <c r="D5" s="31"/>
      <c r="E5" s="36"/>
      <c r="F5" s="36"/>
      <c r="G5" s="71"/>
      <c r="H5" s="21"/>
      <c r="I5" s="21"/>
      <c r="J5" s="18">
        <f>100-(37.58-35.57)/35.57*50</f>
        <v>97.174585324711842</v>
      </c>
      <c r="K5" s="18">
        <f>100-(90.05-90.05)/90.05*50</f>
        <v>100</v>
      </c>
      <c r="L5" s="37"/>
      <c r="M5" s="37"/>
      <c r="N5" s="21"/>
      <c r="O5" s="21"/>
      <c r="P5" s="18"/>
      <c r="Q5" s="18"/>
      <c r="R5" s="21"/>
      <c r="S5" s="24"/>
      <c r="T5" s="73">
        <f t="shared" ref="T5:T9" si="0">SUM(D5:S5)</f>
        <v>197.17458532471184</v>
      </c>
    </row>
    <row r="6" spans="1:22" x14ac:dyDescent="0.25">
      <c r="A6" s="92" t="s">
        <v>11</v>
      </c>
      <c r="B6" s="23" t="s">
        <v>44</v>
      </c>
      <c r="C6" s="24" t="s">
        <v>19</v>
      </c>
      <c r="D6" s="31"/>
      <c r="E6" s="36"/>
      <c r="F6" s="36"/>
      <c r="G6" s="71"/>
      <c r="H6" s="21"/>
      <c r="I6" s="21"/>
      <c r="J6" s="82">
        <f>100-(39.65-35.57)/35.57*50</f>
        <v>94.264829912847901</v>
      </c>
      <c r="K6" s="18"/>
      <c r="L6" s="37"/>
      <c r="M6" s="37"/>
      <c r="N6" s="21"/>
      <c r="O6" s="21"/>
      <c r="P6" s="18"/>
      <c r="Q6" s="21"/>
      <c r="R6" s="21"/>
      <c r="S6" s="24"/>
      <c r="T6" s="73">
        <f t="shared" si="0"/>
        <v>94.264829912847901</v>
      </c>
    </row>
    <row r="7" spans="1:22" x14ac:dyDescent="0.25">
      <c r="A7" s="92" t="s">
        <v>13</v>
      </c>
      <c r="B7" s="23" t="s">
        <v>128</v>
      </c>
      <c r="C7" s="24" t="s">
        <v>19</v>
      </c>
      <c r="D7" s="31"/>
      <c r="E7" s="36"/>
      <c r="F7" s="36"/>
      <c r="G7" s="71"/>
      <c r="H7" s="21"/>
      <c r="I7" s="21"/>
      <c r="J7" s="18">
        <f>100-(44.03-35.57)/35.57*50</f>
        <v>88.107956142816974</v>
      </c>
      <c r="K7" s="18"/>
      <c r="L7" s="37"/>
      <c r="M7" s="37"/>
      <c r="N7" s="21"/>
      <c r="O7" s="21"/>
      <c r="P7" s="18"/>
      <c r="Q7" s="21"/>
      <c r="R7" s="21"/>
      <c r="S7" s="24"/>
      <c r="T7" s="73">
        <f t="shared" si="0"/>
        <v>88.107956142816974</v>
      </c>
    </row>
    <row r="8" spans="1:22" x14ac:dyDescent="0.25">
      <c r="A8" s="92" t="s">
        <v>15</v>
      </c>
      <c r="B8" s="23"/>
      <c r="C8" s="24"/>
      <c r="D8" s="31"/>
      <c r="E8" s="36"/>
      <c r="F8" s="36"/>
      <c r="G8" s="71"/>
      <c r="H8" s="21"/>
      <c r="I8" s="21"/>
      <c r="J8" s="18"/>
      <c r="K8" s="18"/>
      <c r="L8" s="37"/>
      <c r="M8" s="37"/>
      <c r="N8" s="21"/>
      <c r="O8" s="21"/>
      <c r="P8" s="18"/>
      <c r="Q8" s="21"/>
      <c r="R8" s="21"/>
      <c r="S8" s="24"/>
      <c r="T8" s="73">
        <f t="shared" si="0"/>
        <v>0</v>
      </c>
    </row>
    <row r="9" spans="1:22" ht="15.75" thickBot="1" x14ac:dyDescent="0.3">
      <c r="A9" s="39" t="s">
        <v>18</v>
      </c>
      <c r="B9" s="97"/>
      <c r="C9" s="98"/>
      <c r="D9" s="99"/>
      <c r="E9" s="100"/>
      <c r="F9" s="101"/>
      <c r="G9" s="46"/>
      <c r="H9" s="46"/>
      <c r="I9" s="46"/>
      <c r="J9" s="46"/>
      <c r="K9" s="46"/>
      <c r="L9" s="46"/>
      <c r="M9" s="101"/>
      <c r="N9" s="46"/>
      <c r="O9" s="101"/>
      <c r="P9" s="46"/>
      <c r="Q9" s="101"/>
      <c r="R9" s="101"/>
      <c r="S9" s="102"/>
      <c r="T9" s="48">
        <f t="shared" si="0"/>
        <v>0</v>
      </c>
    </row>
    <row r="10" spans="1:22" x14ac:dyDescent="0.25">
      <c r="A10" s="2"/>
      <c r="B10" s="2"/>
      <c r="C10" s="2"/>
      <c r="D10" s="49"/>
      <c r="E10" s="49"/>
      <c r="F10" s="50"/>
      <c r="G10" s="49"/>
      <c r="H10" s="49"/>
      <c r="I10" s="49"/>
      <c r="J10" s="49"/>
      <c r="K10" s="49"/>
      <c r="L10" s="49"/>
      <c r="M10" s="50"/>
      <c r="N10" s="49"/>
      <c r="O10" s="50"/>
      <c r="P10" s="50"/>
      <c r="Q10" s="50"/>
      <c r="R10" s="50"/>
      <c r="S10" s="49"/>
      <c r="T10" s="52"/>
    </row>
    <row r="11" spans="1:22" x14ac:dyDescent="0.25">
      <c r="A11" s="2"/>
      <c r="B11" s="2"/>
      <c r="C11" s="2"/>
      <c r="D11" s="49"/>
      <c r="E11" s="49"/>
      <c r="F11" s="50"/>
      <c r="G11" s="49"/>
      <c r="H11" s="49"/>
      <c r="I11" s="49"/>
      <c r="J11" s="49"/>
      <c r="K11" s="49"/>
      <c r="L11" s="49"/>
      <c r="M11" s="50"/>
      <c r="N11" s="49"/>
      <c r="O11" s="50"/>
      <c r="P11" s="50"/>
      <c r="Q11" s="50"/>
      <c r="R11" s="50"/>
      <c r="S11" s="49"/>
      <c r="T11" s="52"/>
    </row>
    <row r="12" spans="1:22" x14ac:dyDescent="0.25">
      <c r="A12" s="2"/>
      <c r="B12" s="2"/>
      <c r="C12" s="2"/>
      <c r="D12" s="53"/>
      <c r="E12" s="2"/>
      <c r="F12" s="53"/>
      <c r="G12" s="2"/>
      <c r="H12" s="2"/>
      <c r="I12" s="2"/>
      <c r="J12" s="53"/>
      <c r="K12" s="53"/>
      <c r="L12" s="2"/>
      <c r="M12" s="94"/>
      <c r="N12" s="2"/>
      <c r="O12" s="2"/>
      <c r="P12" s="2"/>
      <c r="Q12" s="2"/>
      <c r="R12" s="2"/>
      <c r="S12" s="2"/>
      <c r="T12" s="2"/>
    </row>
    <row r="13" spans="1:22" s="54" customFormat="1" x14ac:dyDescent="0.25">
      <c r="A13" s="54" t="s">
        <v>36</v>
      </c>
    </row>
    <row r="14" spans="1:22" s="55" customFormat="1" x14ac:dyDescent="0.25">
      <c r="A14" s="55" t="s">
        <v>37</v>
      </c>
    </row>
    <row r="15" spans="1:22" x14ac:dyDescent="0.25">
      <c r="A15" s="2"/>
      <c r="B15" s="2"/>
      <c r="C15" s="2"/>
      <c r="D15" s="2"/>
      <c r="E15" s="2"/>
      <c r="F15" s="53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2" x14ac:dyDescent="0.25">
      <c r="A16" s="2"/>
      <c r="B16" s="2"/>
      <c r="C16" s="2"/>
      <c r="D16" s="2"/>
      <c r="E16" s="2"/>
      <c r="F16" s="53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25">
      <c r="A17" s="2"/>
      <c r="B17" s="2"/>
      <c r="C17" s="2"/>
      <c r="D17" s="2"/>
      <c r="E17" s="2"/>
      <c r="F17" s="53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x14ac:dyDescent="0.25">
      <c r="A18" s="2"/>
      <c r="B18" s="2"/>
      <c r="C18" s="2"/>
      <c r="D18" s="2"/>
      <c r="E18" s="2"/>
      <c r="F18" s="53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x14ac:dyDescent="0.25">
      <c r="A19" s="2"/>
      <c r="B19" s="2"/>
      <c r="C19" s="2"/>
      <c r="D19" s="2"/>
      <c r="E19" s="2"/>
      <c r="F19" s="53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25">
      <c r="A20" s="2"/>
      <c r="B20" s="2"/>
      <c r="C20" s="2"/>
      <c r="D20" s="2"/>
      <c r="E20" s="2"/>
      <c r="F20" s="53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s="2" customFormat="1" x14ac:dyDescent="0.25">
      <c r="F21" s="53"/>
    </row>
    <row r="22" spans="1:20" s="2" customFormat="1" x14ac:dyDescent="0.25">
      <c r="F22" s="53"/>
    </row>
    <row r="23" spans="1:20" s="2" customFormat="1" x14ac:dyDescent="0.25">
      <c r="F23" s="53"/>
    </row>
    <row r="24" spans="1:20" s="2" customFormat="1" x14ac:dyDescent="0.25">
      <c r="F24" s="53"/>
    </row>
    <row r="25" spans="1:20" s="2" customFormat="1" x14ac:dyDescent="0.25">
      <c r="F25" s="53"/>
    </row>
    <row r="26" spans="1:20" s="2" customFormat="1" x14ac:dyDescent="0.25">
      <c r="F26" s="53"/>
    </row>
    <row r="27" spans="1:20" s="2" customFormat="1" x14ac:dyDescent="0.25">
      <c r="F27" s="53"/>
    </row>
    <row r="28" spans="1:20" s="2" customFormat="1" x14ac:dyDescent="0.25">
      <c r="F28" s="53"/>
    </row>
    <row r="29" spans="1:20" s="2" customFormat="1" x14ac:dyDescent="0.25">
      <c r="F29" s="53"/>
    </row>
    <row r="30" spans="1:20" s="2" customFormat="1" x14ac:dyDescent="0.25">
      <c r="F30" s="53"/>
    </row>
    <row r="31" spans="1:20" s="2" customFormat="1" x14ac:dyDescent="0.25">
      <c r="F31" s="53"/>
    </row>
    <row r="32" spans="1:20" s="2" customFormat="1" x14ac:dyDescent="0.25">
      <c r="F32" s="53"/>
    </row>
    <row r="33" spans="6:6" s="2" customFormat="1" x14ac:dyDescent="0.25">
      <c r="F33" s="53"/>
    </row>
    <row r="34" spans="6:6" s="2" customFormat="1" x14ac:dyDescent="0.25">
      <c r="F34" s="53"/>
    </row>
    <row r="35" spans="6:6" s="2" customFormat="1" x14ac:dyDescent="0.25">
      <c r="F35" s="53"/>
    </row>
    <row r="36" spans="6:6" s="2" customFormat="1" x14ac:dyDescent="0.25">
      <c r="F36" s="53"/>
    </row>
    <row r="37" spans="6:6" s="2" customFormat="1" x14ac:dyDescent="0.25">
      <c r="F37" s="53"/>
    </row>
    <row r="38" spans="6:6" s="2" customFormat="1" x14ac:dyDescent="0.25">
      <c r="F38" s="53"/>
    </row>
  </sheetData>
  <sortState ref="B3:T4">
    <sortCondition descending="1" ref="T3"/>
  </sortState>
  <mergeCells count="1">
    <mergeCell ref="A1:T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workbookViewId="0">
      <selection activeCell="K6" sqref="K6"/>
    </sheetView>
  </sheetViews>
  <sheetFormatPr defaultColWidth="9" defaultRowHeight="15" x14ac:dyDescent="0.25"/>
  <cols>
    <col min="1" max="1" width="5.140625" style="3" customWidth="1"/>
    <col min="2" max="2" width="25.85546875" style="3" customWidth="1"/>
    <col min="3" max="3" width="11.85546875" style="3" customWidth="1"/>
    <col min="4" max="5" width="9.140625" style="3" customWidth="1"/>
    <col min="6" max="6" width="9.140625" style="56" customWidth="1"/>
    <col min="7" max="20" width="9.140625" style="3" customWidth="1"/>
    <col min="21" max="30" width="9" style="2"/>
    <col min="31" max="256" width="9" style="3"/>
    <col min="257" max="257" width="5.140625" style="3" customWidth="1"/>
    <col min="258" max="258" width="25.85546875" style="3" customWidth="1"/>
    <col min="259" max="259" width="11.85546875" style="3" customWidth="1"/>
    <col min="260" max="276" width="9.140625" style="3" customWidth="1"/>
    <col min="277" max="512" width="9" style="3"/>
    <col min="513" max="513" width="5.140625" style="3" customWidth="1"/>
    <col min="514" max="514" width="25.85546875" style="3" customWidth="1"/>
    <col min="515" max="515" width="11.85546875" style="3" customWidth="1"/>
    <col min="516" max="532" width="9.140625" style="3" customWidth="1"/>
    <col min="533" max="768" width="9" style="3"/>
    <col min="769" max="769" width="5.140625" style="3" customWidth="1"/>
    <col min="770" max="770" width="25.85546875" style="3" customWidth="1"/>
    <col min="771" max="771" width="11.85546875" style="3" customWidth="1"/>
    <col min="772" max="788" width="9.140625" style="3" customWidth="1"/>
    <col min="789" max="1024" width="9" style="3"/>
    <col min="1025" max="1025" width="5.140625" style="3" customWidth="1"/>
    <col min="1026" max="1026" width="25.85546875" style="3" customWidth="1"/>
    <col min="1027" max="1027" width="11.85546875" style="3" customWidth="1"/>
    <col min="1028" max="1044" width="9.140625" style="3" customWidth="1"/>
    <col min="1045" max="1280" width="9" style="3"/>
    <col min="1281" max="1281" width="5.140625" style="3" customWidth="1"/>
    <col min="1282" max="1282" width="25.85546875" style="3" customWidth="1"/>
    <col min="1283" max="1283" width="11.85546875" style="3" customWidth="1"/>
    <col min="1284" max="1300" width="9.140625" style="3" customWidth="1"/>
    <col min="1301" max="1536" width="9" style="3"/>
    <col min="1537" max="1537" width="5.140625" style="3" customWidth="1"/>
    <col min="1538" max="1538" width="25.85546875" style="3" customWidth="1"/>
    <col min="1539" max="1539" width="11.85546875" style="3" customWidth="1"/>
    <col min="1540" max="1556" width="9.140625" style="3" customWidth="1"/>
    <col min="1557" max="1792" width="9" style="3"/>
    <col min="1793" max="1793" width="5.140625" style="3" customWidth="1"/>
    <col min="1794" max="1794" width="25.85546875" style="3" customWidth="1"/>
    <col min="1795" max="1795" width="11.85546875" style="3" customWidth="1"/>
    <col min="1796" max="1812" width="9.140625" style="3" customWidth="1"/>
    <col min="1813" max="2048" width="9" style="3"/>
    <col min="2049" max="2049" width="5.140625" style="3" customWidth="1"/>
    <col min="2050" max="2050" width="25.85546875" style="3" customWidth="1"/>
    <col min="2051" max="2051" width="11.85546875" style="3" customWidth="1"/>
    <col min="2052" max="2068" width="9.140625" style="3" customWidth="1"/>
    <col min="2069" max="2304" width="9" style="3"/>
    <col min="2305" max="2305" width="5.140625" style="3" customWidth="1"/>
    <col min="2306" max="2306" width="25.85546875" style="3" customWidth="1"/>
    <col min="2307" max="2307" width="11.85546875" style="3" customWidth="1"/>
    <col min="2308" max="2324" width="9.140625" style="3" customWidth="1"/>
    <col min="2325" max="2560" width="9" style="3"/>
    <col min="2561" max="2561" width="5.140625" style="3" customWidth="1"/>
    <col min="2562" max="2562" width="25.85546875" style="3" customWidth="1"/>
    <col min="2563" max="2563" width="11.85546875" style="3" customWidth="1"/>
    <col min="2564" max="2580" width="9.140625" style="3" customWidth="1"/>
    <col min="2581" max="2816" width="9" style="3"/>
    <col min="2817" max="2817" width="5.140625" style="3" customWidth="1"/>
    <col min="2818" max="2818" width="25.85546875" style="3" customWidth="1"/>
    <col min="2819" max="2819" width="11.85546875" style="3" customWidth="1"/>
    <col min="2820" max="2836" width="9.140625" style="3" customWidth="1"/>
    <col min="2837" max="3072" width="9" style="3"/>
    <col min="3073" max="3073" width="5.140625" style="3" customWidth="1"/>
    <col min="3074" max="3074" width="25.85546875" style="3" customWidth="1"/>
    <col min="3075" max="3075" width="11.85546875" style="3" customWidth="1"/>
    <col min="3076" max="3092" width="9.140625" style="3" customWidth="1"/>
    <col min="3093" max="3328" width="9" style="3"/>
    <col min="3329" max="3329" width="5.140625" style="3" customWidth="1"/>
    <col min="3330" max="3330" width="25.85546875" style="3" customWidth="1"/>
    <col min="3331" max="3331" width="11.85546875" style="3" customWidth="1"/>
    <col min="3332" max="3348" width="9.140625" style="3" customWidth="1"/>
    <col min="3349" max="3584" width="9" style="3"/>
    <col min="3585" max="3585" width="5.140625" style="3" customWidth="1"/>
    <col min="3586" max="3586" width="25.85546875" style="3" customWidth="1"/>
    <col min="3587" max="3587" width="11.85546875" style="3" customWidth="1"/>
    <col min="3588" max="3604" width="9.140625" style="3" customWidth="1"/>
    <col min="3605" max="3840" width="9" style="3"/>
    <col min="3841" max="3841" width="5.140625" style="3" customWidth="1"/>
    <col min="3842" max="3842" width="25.85546875" style="3" customWidth="1"/>
    <col min="3843" max="3843" width="11.85546875" style="3" customWidth="1"/>
    <col min="3844" max="3860" width="9.140625" style="3" customWidth="1"/>
    <col min="3861" max="4096" width="9" style="3"/>
    <col min="4097" max="4097" width="5.140625" style="3" customWidth="1"/>
    <col min="4098" max="4098" width="25.85546875" style="3" customWidth="1"/>
    <col min="4099" max="4099" width="11.85546875" style="3" customWidth="1"/>
    <col min="4100" max="4116" width="9.140625" style="3" customWidth="1"/>
    <col min="4117" max="4352" width="9" style="3"/>
    <col min="4353" max="4353" width="5.140625" style="3" customWidth="1"/>
    <col min="4354" max="4354" width="25.85546875" style="3" customWidth="1"/>
    <col min="4355" max="4355" width="11.85546875" style="3" customWidth="1"/>
    <col min="4356" max="4372" width="9.140625" style="3" customWidth="1"/>
    <col min="4373" max="4608" width="9" style="3"/>
    <col min="4609" max="4609" width="5.140625" style="3" customWidth="1"/>
    <col min="4610" max="4610" width="25.85546875" style="3" customWidth="1"/>
    <col min="4611" max="4611" width="11.85546875" style="3" customWidth="1"/>
    <col min="4612" max="4628" width="9.140625" style="3" customWidth="1"/>
    <col min="4629" max="4864" width="9" style="3"/>
    <col min="4865" max="4865" width="5.140625" style="3" customWidth="1"/>
    <col min="4866" max="4866" width="25.85546875" style="3" customWidth="1"/>
    <col min="4867" max="4867" width="11.85546875" style="3" customWidth="1"/>
    <col min="4868" max="4884" width="9.140625" style="3" customWidth="1"/>
    <col min="4885" max="5120" width="9" style="3"/>
    <col min="5121" max="5121" width="5.140625" style="3" customWidth="1"/>
    <col min="5122" max="5122" width="25.85546875" style="3" customWidth="1"/>
    <col min="5123" max="5123" width="11.85546875" style="3" customWidth="1"/>
    <col min="5124" max="5140" width="9.140625" style="3" customWidth="1"/>
    <col min="5141" max="5376" width="9" style="3"/>
    <col min="5377" max="5377" width="5.140625" style="3" customWidth="1"/>
    <col min="5378" max="5378" width="25.85546875" style="3" customWidth="1"/>
    <col min="5379" max="5379" width="11.85546875" style="3" customWidth="1"/>
    <col min="5380" max="5396" width="9.140625" style="3" customWidth="1"/>
    <col min="5397" max="5632" width="9" style="3"/>
    <col min="5633" max="5633" width="5.140625" style="3" customWidth="1"/>
    <col min="5634" max="5634" width="25.85546875" style="3" customWidth="1"/>
    <col min="5635" max="5635" width="11.85546875" style="3" customWidth="1"/>
    <col min="5636" max="5652" width="9.140625" style="3" customWidth="1"/>
    <col min="5653" max="5888" width="9" style="3"/>
    <col min="5889" max="5889" width="5.140625" style="3" customWidth="1"/>
    <col min="5890" max="5890" width="25.85546875" style="3" customWidth="1"/>
    <col min="5891" max="5891" width="11.85546875" style="3" customWidth="1"/>
    <col min="5892" max="5908" width="9.140625" style="3" customWidth="1"/>
    <col min="5909" max="6144" width="9" style="3"/>
    <col min="6145" max="6145" width="5.140625" style="3" customWidth="1"/>
    <col min="6146" max="6146" width="25.85546875" style="3" customWidth="1"/>
    <col min="6147" max="6147" width="11.85546875" style="3" customWidth="1"/>
    <col min="6148" max="6164" width="9.140625" style="3" customWidth="1"/>
    <col min="6165" max="6400" width="9" style="3"/>
    <col min="6401" max="6401" width="5.140625" style="3" customWidth="1"/>
    <col min="6402" max="6402" width="25.85546875" style="3" customWidth="1"/>
    <col min="6403" max="6403" width="11.85546875" style="3" customWidth="1"/>
    <col min="6404" max="6420" width="9.140625" style="3" customWidth="1"/>
    <col min="6421" max="6656" width="9" style="3"/>
    <col min="6657" max="6657" width="5.140625" style="3" customWidth="1"/>
    <col min="6658" max="6658" width="25.85546875" style="3" customWidth="1"/>
    <col min="6659" max="6659" width="11.85546875" style="3" customWidth="1"/>
    <col min="6660" max="6676" width="9.140625" style="3" customWidth="1"/>
    <col min="6677" max="6912" width="9" style="3"/>
    <col min="6913" max="6913" width="5.140625" style="3" customWidth="1"/>
    <col min="6914" max="6914" width="25.85546875" style="3" customWidth="1"/>
    <col min="6915" max="6915" width="11.85546875" style="3" customWidth="1"/>
    <col min="6916" max="6932" width="9.140625" style="3" customWidth="1"/>
    <col min="6933" max="7168" width="9" style="3"/>
    <col min="7169" max="7169" width="5.140625" style="3" customWidth="1"/>
    <col min="7170" max="7170" width="25.85546875" style="3" customWidth="1"/>
    <col min="7171" max="7171" width="11.85546875" style="3" customWidth="1"/>
    <col min="7172" max="7188" width="9.140625" style="3" customWidth="1"/>
    <col min="7189" max="7424" width="9" style="3"/>
    <col min="7425" max="7425" width="5.140625" style="3" customWidth="1"/>
    <col min="7426" max="7426" width="25.85546875" style="3" customWidth="1"/>
    <col min="7427" max="7427" width="11.85546875" style="3" customWidth="1"/>
    <col min="7428" max="7444" width="9.140625" style="3" customWidth="1"/>
    <col min="7445" max="7680" width="9" style="3"/>
    <col min="7681" max="7681" width="5.140625" style="3" customWidth="1"/>
    <col min="7682" max="7682" width="25.85546875" style="3" customWidth="1"/>
    <col min="7683" max="7683" width="11.85546875" style="3" customWidth="1"/>
    <col min="7684" max="7700" width="9.140625" style="3" customWidth="1"/>
    <col min="7701" max="7936" width="9" style="3"/>
    <col min="7937" max="7937" width="5.140625" style="3" customWidth="1"/>
    <col min="7938" max="7938" width="25.85546875" style="3" customWidth="1"/>
    <col min="7939" max="7939" width="11.85546875" style="3" customWidth="1"/>
    <col min="7940" max="7956" width="9.140625" style="3" customWidth="1"/>
    <col min="7957" max="8192" width="9" style="3"/>
    <col min="8193" max="8193" width="5.140625" style="3" customWidth="1"/>
    <col min="8194" max="8194" width="25.85546875" style="3" customWidth="1"/>
    <col min="8195" max="8195" width="11.85546875" style="3" customWidth="1"/>
    <col min="8196" max="8212" width="9.140625" style="3" customWidth="1"/>
    <col min="8213" max="8448" width="9" style="3"/>
    <col min="8449" max="8449" width="5.140625" style="3" customWidth="1"/>
    <col min="8450" max="8450" width="25.85546875" style="3" customWidth="1"/>
    <col min="8451" max="8451" width="11.85546875" style="3" customWidth="1"/>
    <col min="8452" max="8468" width="9.140625" style="3" customWidth="1"/>
    <col min="8469" max="8704" width="9" style="3"/>
    <col min="8705" max="8705" width="5.140625" style="3" customWidth="1"/>
    <col min="8706" max="8706" width="25.85546875" style="3" customWidth="1"/>
    <col min="8707" max="8707" width="11.85546875" style="3" customWidth="1"/>
    <col min="8708" max="8724" width="9.140625" style="3" customWidth="1"/>
    <col min="8725" max="8960" width="9" style="3"/>
    <col min="8961" max="8961" width="5.140625" style="3" customWidth="1"/>
    <col min="8962" max="8962" width="25.85546875" style="3" customWidth="1"/>
    <col min="8963" max="8963" width="11.85546875" style="3" customWidth="1"/>
    <col min="8964" max="8980" width="9.140625" style="3" customWidth="1"/>
    <col min="8981" max="9216" width="9" style="3"/>
    <col min="9217" max="9217" width="5.140625" style="3" customWidth="1"/>
    <col min="9218" max="9218" width="25.85546875" style="3" customWidth="1"/>
    <col min="9219" max="9219" width="11.85546875" style="3" customWidth="1"/>
    <col min="9220" max="9236" width="9.140625" style="3" customWidth="1"/>
    <col min="9237" max="9472" width="9" style="3"/>
    <col min="9473" max="9473" width="5.140625" style="3" customWidth="1"/>
    <col min="9474" max="9474" width="25.85546875" style="3" customWidth="1"/>
    <col min="9475" max="9475" width="11.85546875" style="3" customWidth="1"/>
    <col min="9476" max="9492" width="9.140625" style="3" customWidth="1"/>
    <col min="9493" max="9728" width="9" style="3"/>
    <col min="9729" max="9729" width="5.140625" style="3" customWidth="1"/>
    <col min="9730" max="9730" width="25.85546875" style="3" customWidth="1"/>
    <col min="9731" max="9731" width="11.85546875" style="3" customWidth="1"/>
    <col min="9732" max="9748" width="9.140625" style="3" customWidth="1"/>
    <col min="9749" max="9984" width="9" style="3"/>
    <col min="9985" max="9985" width="5.140625" style="3" customWidth="1"/>
    <col min="9986" max="9986" width="25.85546875" style="3" customWidth="1"/>
    <col min="9987" max="9987" width="11.85546875" style="3" customWidth="1"/>
    <col min="9988" max="10004" width="9.140625" style="3" customWidth="1"/>
    <col min="10005" max="10240" width="9" style="3"/>
    <col min="10241" max="10241" width="5.140625" style="3" customWidth="1"/>
    <col min="10242" max="10242" width="25.85546875" style="3" customWidth="1"/>
    <col min="10243" max="10243" width="11.85546875" style="3" customWidth="1"/>
    <col min="10244" max="10260" width="9.140625" style="3" customWidth="1"/>
    <col min="10261" max="10496" width="9" style="3"/>
    <col min="10497" max="10497" width="5.140625" style="3" customWidth="1"/>
    <col min="10498" max="10498" width="25.85546875" style="3" customWidth="1"/>
    <col min="10499" max="10499" width="11.85546875" style="3" customWidth="1"/>
    <col min="10500" max="10516" width="9.140625" style="3" customWidth="1"/>
    <col min="10517" max="10752" width="9" style="3"/>
    <col min="10753" max="10753" width="5.140625" style="3" customWidth="1"/>
    <col min="10754" max="10754" width="25.85546875" style="3" customWidth="1"/>
    <col min="10755" max="10755" width="11.85546875" style="3" customWidth="1"/>
    <col min="10756" max="10772" width="9.140625" style="3" customWidth="1"/>
    <col min="10773" max="11008" width="9" style="3"/>
    <col min="11009" max="11009" width="5.140625" style="3" customWidth="1"/>
    <col min="11010" max="11010" width="25.85546875" style="3" customWidth="1"/>
    <col min="11011" max="11011" width="11.85546875" style="3" customWidth="1"/>
    <col min="11012" max="11028" width="9.140625" style="3" customWidth="1"/>
    <col min="11029" max="11264" width="9" style="3"/>
    <col min="11265" max="11265" width="5.140625" style="3" customWidth="1"/>
    <col min="11266" max="11266" width="25.85546875" style="3" customWidth="1"/>
    <col min="11267" max="11267" width="11.85546875" style="3" customWidth="1"/>
    <col min="11268" max="11284" width="9.140625" style="3" customWidth="1"/>
    <col min="11285" max="11520" width="9" style="3"/>
    <col min="11521" max="11521" width="5.140625" style="3" customWidth="1"/>
    <col min="11522" max="11522" width="25.85546875" style="3" customWidth="1"/>
    <col min="11523" max="11523" width="11.85546875" style="3" customWidth="1"/>
    <col min="11524" max="11540" width="9.140625" style="3" customWidth="1"/>
    <col min="11541" max="11776" width="9" style="3"/>
    <col min="11777" max="11777" width="5.140625" style="3" customWidth="1"/>
    <col min="11778" max="11778" width="25.85546875" style="3" customWidth="1"/>
    <col min="11779" max="11779" width="11.85546875" style="3" customWidth="1"/>
    <col min="11780" max="11796" width="9.140625" style="3" customWidth="1"/>
    <col min="11797" max="12032" width="9" style="3"/>
    <col min="12033" max="12033" width="5.140625" style="3" customWidth="1"/>
    <col min="12034" max="12034" width="25.85546875" style="3" customWidth="1"/>
    <col min="12035" max="12035" width="11.85546875" style="3" customWidth="1"/>
    <col min="12036" max="12052" width="9.140625" style="3" customWidth="1"/>
    <col min="12053" max="12288" width="9" style="3"/>
    <col min="12289" max="12289" width="5.140625" style="3" customWidth="1"/>
    <col min="12290" max="12290" width="25.85546875" style="3" customWidth="1"/>
    <col min="12291" max="12291" width="11.85546875" style="3" customWidth="1"/>
    <col min="12292" max="12308" width="9.140625" style="3" customWidth="1"/>
    <col min="12309" max="12544" width="9" style="3"/>
    <col min="12545" max="12545" width="5.140625" style="3" customWidth="1"/>
    <col min="12546" max="12546" width="25.85546875" style="3" customWidth="1"/>
    <col min="12547" max="12547" width="11.85546875" style="3" customWidth="1"/>
    <col min="12548" max="12564" width="9.140625" style="3" customWidth="1"/>
    <col min="12565" max="12800" width="9" style="3"/>
    <col min="12801" max="12801" width="5.140625" style="3" customWidth="1"/>
    <col min="12802" max="12802" width="25.85546875" style="3" customWidth="1"/>
    <col min="12803" max="12803" width="11.85546875" style="3" customWidth="1"/>
    <col min="12804" max="12820" width="9.140625" style="3" customWidth="1"/>
    <col min="12821" max="13056" width="9" style="3"/>
    <col min="13057" max="13057" width="5.140625" style="3" customWidth="1"/>
    <col min="13058" max="13058" width="25.85546875" style="3" customWidth="1"/>
    <col min="13059" max="13059" width="11.85546875" style="3" customWidth="1"/>
    <col min="13060" max="13076" width="9.140625" style="3" customWidth="1"/>
    <col min="13077" max="13312" width="9" style="3"/>
    <col min="13313" max="13313" width="5.140625" style="3" customWidth="1"/>
    <col min="13314" max="13314" width="25.85546875" style="3" customWidth="1"/>
    <col min="13315" max="13315" width="11.85546875" style="3" customWidth="1"/>
    <col min="13316" max="13332" width="9.140625" style="3" customWidth="1"/>
    <col min="13333" max="13568" width="9" style="3"/>
    <col min="13569" max="13569" width="5.140625" style="3" customWidth="1"/>
    <col min="13570" max="13570" width="25.85546875" style="3" customWidth="1"/>
    <col min="13571" max="13571" width="11.85546875" style="3" customWidth="1"/>
    <col min="13572" max="13588" width="9.140625" style="3" customWidth="1"/>
    <col min="13589" max="13824" width="9" style="3"/>
    <col min="13825" max="13825" width="5.140625" style="3" customWidth="1"/>
    <col min="13826" max="13826" width="25.85546875" style="3" customWidth="1"/>
    <col min="13827" max="13827" width="11.85546875" style="3" customWidth="1"/>
    <col min="13828" max="13844" width="9.140625" style="3" customWidth="1"/>
    <col min="13845" max="14080" width="9" style="3"/>
    <col min="14081" max="14081" width="5.140625" style="3" customWidth="1"/>
    <col min="14082" max="14082" width="25.85546875" style="3" customWidth="1"/>
    <col min="14083" max="14083" width="11.85546875" style="3" customWidth="1"/>
    <col min="14084" max="14100" width="9.140625" style="3" customWidth="1"/>
    <col min="14101" max="14336" width="9" style="3"/>
    <col min="14337" max="14337" width="5.140625" style="3" customWidth="1"/>
    <col min="14338" max="14338" width="25.85546875" style="3" customWidth="1"/>
    <col min="14339" max="14339" width="11.85546875" style="3" customWidth="1"/>
    <col min="14340" max="14356" width="9.140625" style="3" customWidth="1"/>
    <col min="14357" max="14592" width="9" style="3"/>
    <col min="14593" max="14593" width="5.140625" style="3" customWidth="1"/>
    <col min="14594" max="14594" width="25.85546875" style="3" customWidth="1"/>
    <col min="14595" max="14595" width="11.85546875" style="3" customWidth="1"/>
    <col min="14596" max="14612" width="9.140625" style="3" customWidth="1"/>
    <col min="14613" max="14848" width="9" style="3"/>
    <col min="14849" max="14849" width="5.140625" style="3" customWidth="1"/>
    <col min="14850" max="14850" width="25.85546875" style="3" customWidth="1"/>
    <col min="14851" max="14851" width="11.85546875" style="3" customWidth="1"/>
    <col min="14852" max="14868" width="9.140625" style="3" customWidth="1"/>
    <col min="14869" max="15104" width="9" style="3"/>
    <col min="15105" max="15105" width="5.140625" style="3" customWidth="1"/>
    <col min="15106" max="15106" width="25.85546875" style="3" customWidth="1"/>
    <col min="15107" max="15107" width="11.85546875" style="3" customWidth="1"/>
    <col min="15108" max="15124" width="9.140625" style="3" customWidth="1"/>
    <col min="15125" max="15360" width="9" style="3"/>
    <col min="15361" max="15361" width="5.140625" style="3" customWidth="1"/>
    <col min="15362" max="15362" width="25.85546875" style="3" customWidth="1"/>
    <col min="15363" max="15363" width="11.85546875" style="3" customWidth="1"/>
    <col min="15364" max="15380" width="9.140625" style="3" customWidth="1"/>
    <col min="15381" max="15616" width="9" style="3"/>
    <col min="15617" max="15617" width="5.140625" style="3" customWidth="1"/>
    <col min="15618" max="15618" width="25.85546875" style="3" customWidth="1"/>
    <col min="15619" max="15619" width="11.85546875" style="3" customWidth="1"/>
    <col min="15620" max="15636" width="9.140625" style="3" customWidth="1"/>
    <col min="15637" max="15872" width="9" style="3"/>
    <col min="15873" max="15873" width="5.140625" style="3" customWidth="1"/>
    <col min="15874" max="15874" width="25.85546875" style="3" customWidth="1"/>
    <col min="15875" max="15875" width="11.85546875" style="3" customWidth="1"/>
    <col min="15876" max="15892" width="9.140625" style="3" customWidth="1"/>
    <col min="15893" max="16128" width="9" style="3"/>
    <col min="16129" max="16129" width="5.140625" style="3" customWidth="1"/>
    <col min="16130" max="16130" width="25.85546875" style="3" customWidth="1"/>
    <col min="16131" max="16131" width="11.85546875" style="3" customWidth="1"/>
    <col min="16132" max="16148" width="9.140625" style="3" customWidth="1"/>
    <col min="16149" max="16384" width="9" style="3"/>
  </cols>
  <sheetData>
    <row r="1" spans="1:22" ht="34.5" thickBot="1" x14ac:dyDescent="0.3">
      <c r="A1" s="170" t="s">
        <v>69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2"/>
      <c r="U1" s="1"/>
      <c r="V1" s="1"/>
    </row>
    <row r="2" spans="1:22" ht="159.75" customHeight="1" thickBot="1" x14ac:dyDescent="0.3">
      <c r="A2" s="4" t="s">
        <v>0</v>
      </c>
      <c r="B2" s="5" t="s">
        <v>1</v>
      </c>
      <c r="C2" s="6" t="s">
        <v>2</v>
      </c>
      <c r="D2" s="7" t="s">
        <v>70</v>
      </c>
      <c r="E2" s="8" t="s">
        <v>71</v>
      </c>
      <c r="F2" s="7" t="s">
        <v>80</v>
      </c>
      <c r="G2" s="7" t="s">
        <v>81</v>
      </c>
      <c r="H2" s="7" t="s">
        <v>96</v>
      </c>
      <c r="I2" s="7" t="s">
        <v>95</v>
      </c>
      <c r="J2" s="8" t="s">
        <v>116</v>
      </c>
      <c r="K2" s="8" t="s">
        <v>117</v>
      </c>
      <c r="L2" s="8"/>
      <c r="M2" s="8"/>
      <c r="N2" s="8"/>
      <c r="O2" s="8"/>
      <c r="P2" s="8"/>
      <c r="Q2" s="8"/>
      <c r="R2" s="7"/>
      <c r="S2" s="7"/>
      <c r="T2" s="9" t="s">
        <v>3</v>
      </c>
      <c r="U2" s="10"/>
      <c r="V2" s="10"/>
    </row>
    <row r="3" spans="1:22" x14ac:dyDescent="0.25">
      <c r="A3" s="86" t="s">
        <v>4</v>
      </c>
      <c r="B3" s="14" t="s">
        <v>49</v>
      </c>
      <c r="C3" s="15" t="s">
        <v>22</v>
      </c>
      <c r="D3" s="156" t="s">
        <v>12</v>
      </c>
      <c r="E3" s="16">
        <f>100-(131.08-81.22)/81.22*50</f>
        <v>69.305589756217671</v>
      </c>
      <c r="F3" s="17"/>
      <c r="G3" s="17"/>
      <c r="H3" s="17">
        <f>100-(49.82-49.82)/49.82*50</f>
        <v>100</v>
      </c>
      <c r="I3" s="17">
        <f>100-(98.52-98.52)/98.52*50</f>
        <v>100</v>
      </c>
      <c r="J3" s="18">
        <f>100-(53.83-29.07)/29.07*50</f>
        <v>57.413140694874443</v>
      </c>
      <c r="K3" s="18">
        <f>100-(81.78-58.8)/58.8*50</f>
        <v>80.459183673469383</v>
      </c>
      <c r="L3" s="16"/>
      <c r="M3" s="16"/>
      <c r="N3" s="16"/>
      <c r="O3" s="16"/>
      <c r="P3" s="139"/>
      <c r="Q3" s="16"/>
      <c r="R3" s="17"/>
      <c r="S3" s="96"/>
      <c r="T3" s="104">
        <f>SUM(D3:S3)</f>
        <v>407.17791412456154</v>
      </c>
    </row>
    <row r="4" spans="1:22" x14ac:dyDescent="0.25">
      <c r="A4" s="92" t="s">
        <v>6</v>
      </c>
      <c r="B4" s="23" t="s">
        <v>47</v>
      </c>
      <c r="C4" s="24" t="s">
        <v>48</v>
      </c>
      <c r="D4" s="157">
        <f>100-(102.9-102.9)/102.9*50</f>
        <v>100</v>
      </c>
      <c r="E4" s="19">
        <f>100-(85.43-81.22)/81.22*50</f>
        <v>97.408273824181236</v>
      </c>
      <c r="F4" s="28"/>
      <c r="G4" s="19"/>
      <c r="H4" s="18"/>
      <c r="I4" s="29"/>
      <c r="J4" s="18">
        <f>100-(29.07-29.07)/29.07*50</f>
        <v>100</v>
      </c>
      <c r="K4" s="18">
        <f>100-(58.8-58.8)/58.8*50</f>
        <v>100</v>
      </c>
      <c r="L4" s="18"/>
      <c r="M4" s="18"/>
      <c r="N4" s="18"/>
      <c r="O4" s="18"/>
      <c r="P4" s="105"/>
      <c r="Q4" s="18"/>
      <c r="R4" s="19"/>
      <c r="S4" s="122"/>
      <c r="T4" s="26">
        <f>SUM(D4:S4)</f>
        <v>397.40827382418126</v>
      </c>
    </row>
    <row r="5" spans="1:22" x14ac:dyDescent="0.25">
      <c r="A5" s="92" t="s">
        <v>8</v>
      </c>
      <c r="B5" s="23" t="s">
        <v>79</v>
      </c>
      <c r="C5" s="24" t="s">
        <v>7</v>
      </c>
      <c r="D5" s="138"/>
      <c r="E5" s="19">
        <f>100-(146.08-81.22)/81.22*50</f>
        <v>60.07141098251661</v>
      </c>
      <c r="F5" s="34"/>
      <c r="G5" s="34"/>
      <c r="H5" s="19">
        <f>100-(61.8-49.82)/49.82*50</f>
        <v>87.976716178241674</v>
      </c>
      <c r="I5" s="19"/>
      <c r="J5" s="18">
        <f>100-(49.28-29.07)/29.07*50</f>
        <v>65.239078087375304</v>
      </c>
      <c r="K5" s="18">
        <f>100-(88.78-58.8)/58.8*50</f>
        <v>74.506802721088434</v>
      </c>
      <c r="L5" s="19"/>
      <c r="M5" s="19"/>
      <c r="N5" s="19"/>
      <c r="O5" s="19"/>
      <c r="P5" s="18"/>
      <c r="Q5" s="19"/>
      <c r="R5" s="25"/>
      <c r="S5" s="90"/>
      <c r="T5" s="73">
        <f>SUM(D5:S5)</f>
        <v>287.79400796922198</v>
      </c>
    </row>
    <row r="6" spans="1:22" ht="15.75" thickBot="1" x14ac:dyDescent="0.3">
      <c r="A6" s="93" t="s">
        <v>11</v>
      </c>
      <c r="B6" s="40" t="s">
        <v>41</v>
      </c>
      <c r="C6" s="41" t="s">
        <v>42</v>
      </c>
      <c r="D6" s="40"/>
      <c r="E6" s="100">
        <f>100-(81.22-81.22)/81.22*50</f>
        <v>100</v>
      </c>
      <c r="F6" s="77"/>
      <c r="G6" s="63"/>
      <c r="H6" s="158"/>
      <c r="I6" s="63"/>
      <c r="J6" s="63"/>
      <c r="K6" s="43"/>
      <c r="L6" s="100"/>
      <c r="M6" s="43"/>
      <c r="N6" s="43"/>
      <c r="O6" s="43"/>
      <c r="P6" s="46"/>
      <c r="Q6" s="43"/>
      <c r="R6" s="155"/>
      <c r="S6" s="98"/>
      <c r="T6" s="124">
        <f>SUM(D6:S6)</f>
        <v>100</v>
      </c>
    </row>
    <row r="7" spans="1:22" x14ac:dyDescent="0.25">
      <c r="A7" s="2"/>
      <c r="B7" s="2"/>
      <c r="C7" s="2"/>
      <c r="D7" s="2"/>
      <c r="E7" s="2"/>
      <c r="F7" s="53"/>
      <c r="G7" s="2"/>
      <c r="H7" s="2"/>
      <c r="I7" s="2"/>
      <c r="J7" s="2"/>
      <c r="K7" s="2"/>
      <c r="L7" s="2"/>
      <c r="M7" s="85"/>
      <c r="N7" s="2"/>
      <c r="O7" s="2"/>
      <c r="P7" s="2"/>
      <c r="Q7" s="2"/>
      <c r="R7" s="2"/>
      <c r="S7" s="2"/>
      <c r="T7" s="52"/>
    </row>
    <row r="8" spans="1:22" x14ac:dyDescent="0.25">
      <c r="A8" s="2"/>
      <c r="B8" s="2"/>
      <c r="C8" s="2"/>
      <c r="D8" s="2"/>
      <c r="E8" s="2"/>
      <c r="F8" s="53"/>
      <c r="G8" s="2"/>
      <c r="H8" s="2"/>
      <c r="I8" s="2"/>
      <c r="J8" s="2"/>
      <c r="K8" s="2"/>
      <c r="L8" s="2"/>
      <c r="M8" s="2"/>
      <c r="N8" s="49"/>
      <c r="O8" s="49"/>
      <c r="P8" s="49"/>
      <c r="Q8" s="49"/>
      <c r="R8" s="2"/>
      <c r="S8" s="2"/>
      <c r="T8" s="52"/>
    </row>
    <row r="9" spans="1:22" x14ac:dyDescent="0.25">
      <c r="A9" s="2"/>
      <c r="B9" s="2"/>
      <c r="C9" s="2"/>
      <c r="D9" s="2"/>
      <c r="E9" s="2"/>
      <c r="F9" s="53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2" s="54" customFormat="1" x14ac:dyDescent="0.25">
      <c r="A10" s="54" t="s">
        <v>36</v>
      </c>
    </row>
    <row r="11" spans="1:22" s="55" customFormat="1" x14ac:dyDescent="0.25">
      <c r="A11" s="55" t="s">
        <v>37</v>
      </c>
    </row>
  </sheetData>
  <sortState ref="B3:T6">
    <sortCondition descending="1" ref="T3"/>
  </sortState>
  <mergeCells count="1">
    <mergeCell ref="A1:T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15</vt:i4>
      </vt:variant>
    </vt:vector>
  </HeadingPairs>
  <TitlesOfParts>
    <vt:vector size="15" baseType="lpstr">
      <vt:lpstr>Férfi Elit</vt:lpstr>
      <vt:lpstr>Női Elit</vt:lpstr>
      <vt:lpstr>N14</vt:lpstr>
      <vt:lpstr>F14</vt:lpstr>
      <vt:lpstr>N15-17</vt:lpstr>
      <vt:lpstr>F15-17</vt:lpstr>
      <vt:lpstr>N18-20</vt:lpstr>
      <vt:lpstr>F18-20</vt:lpstr>
      <vt:lpstr>N21B</vt:lpstr>
      <vt:lpstr>F21B</vt:lpstr>
      <vt:lpstr>N40</vt:lpstr>
      <vt:lpstr>F40</vt:lpstr>
      <vt:lpstr>N50</vt:lpstr>
      <vt:lpstr>F50</vt:lpstr>
      <vt:lpstr>F60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Tibor</dc:creator>
  <cp:lastModifiedBy>Tibor</cp:lastModifiedBy>
  <dcterms:created xsi:type="dcterms:W3CDTF">2015-10-05T14:47:48Z</dcterms:created>
  <dcterms:modified xsi:type="dcterms:W3CDTF">2016-08-24T07:15:00Z</dcterms:modified>
</cp:coreProperties>
</file>