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4" windowWidth="15480" windowHeight="8197" tabRatio="807" activeTab="11"/>
  </bookViews>
  <sheets>
    <sheet name="Férfi elit" sheetId="1" r:id="rId1"/>
    <sheet name="Női elit" sheetId="2" r:id="rId2"/>
    <sheet name="W14" sheetId="3" r:id="rId3"/>
    <sheet name="M14" sheetId="4" r:id="rId4"/>
    <sheet name="W15-17" sheetId="5" r:id="rId5"/>
    <sheet name="M15-17" sheetId="6" r:id="rId6"/>
    <sheet name="W18-20" sheetId="7" r:id="rId7"/>
    <sheet name="M18-20" sheetId="8" r:id="rId8"/>
    <sheet name="W21B" sheetId="9" r:id="rId9"/>
    <sheet name="M21B" sheetId="10" r:id="rId10"/>
    <sheet name="W40" sheetId="11" r:id="rId11"/>
    <sheet name="M40" sheetId="12" r:id="rId12"/>
    <sheet name="W50" sheetId="13" r:id="rId13"/>
    <sheet name="M50" sheetId="14" r:id="rId14"/>
    <sheet name="M60" sheetId="15" r:id="rId15"/>
  </sheets>
  <definedNames>
    <definedName name="_xlnm._FilterDatabase" localSheetId="0" hidden="1">'Férfi elit'!$B$2:$U$2</definedName>
    <definedName name="_xlnm._FilterDatabase" localSheetId="3" hidden="1">'M14'!$B$2:$R$2</definedName>
    <definedName name="_xlnm._FilterDatabase" localSheetId="5" hidden="1">'M15-17'!$B$2:$R$2</definedName>
    <definedName name="_xlnm._FilterDatabase" localSheetId="7" hidden="1">'M18-20'!$B$2:$R$2</definedName>
    <definedName name="_xlnm._FilterDatabase" localSheetId="11" hidden="1">'M40'!$B$2:$R$2</definedName>
    <definedName name="_xlnm._FilterDatabase" localSheetId="13" hidden="1">'M50'!$B$2:$R$2</definedName>
    <definedName name="_xlnm._FilterDatabase" localSheetId="14" hidden="1">'M60'!$B$2:$R$2</definedName>
    <definedName name="_xlnm._FilterDatabase" localSheetId="1" hidden="1">'Női elit'!$B$2:$R$2</definedName>
  </definedNames>
  <calcPr fullCalcOnLoad="1"/>
</workbook>
</file>

<file path=xl/sharedStrings.xml><?xml version="1.0" encoding="utf-8"?>
<sst xmlns="http://schemas.openxmlformats.org/spreadsheetml/2006/main" count="768" uniqueCount="185">
  <si>
    <t>klub</t>
  </si>
  <si>
    <t>Össz pont</t>
  </si>
  <si>
    <t>OSC</t>
  </si>
  <si>
    <t>Rózsa László</t>
  </si>
  <si>
    <t>SPA</t>
  </si>
  <si>
    <t>Bihari Zoltán</t>
  </si>
  <si>
    <t>Bedő Csaba</t>
  </si>
  <si>
    <t>DTC</t>
  </si>
  <si>
    <t>Vajda Zsolt</t>
  </si>
  <si>
    <t>THT</t>
  </si>
  <si>
    <t>Füzy Anna</t>
  </si>
  <si>
    <t>MSE</t>
  </si>
  <si>
    <t>Tamás Tibor</t>
  </si>
  <si>
    <t>Jankó Tamás</t>
  </si>
  <si>
    <t>HSE</t>
  </si>
  <si>
    <t>Pálfi Antal</t>
  </si>
  <si>
    <t>Nagy Benő</t>
  </si>
  <si>
    <t>KFK</t>
  </si>
  <si>
    <t>MAF</t>
  </si>
  <si>
    <t>Mets Miklós</t>
  </si>
  <si>
    <t>PSE</t>
  </si>
  <si>
    <t>Kirilla Péter</t>
  </si>
  <si>
    <t>Szabó Tamás</t>
  </si>
  <si>
    <t>VHS</t>
  </si>
  <si>
    <t>Holluby András</t>
  </si>
  <si>
    <t>BSC/VKE-Nelson</t>
  </si>
  <si>
    <t>Nagy András</t>
  </si>
  <si>
    <t>SMA</t>
  </si>
  <si>
    <t>Mesics Péter</t>
  </si>
  <si>
    <t>Jordán Soma</t>
  </si>
  <si>
    <t>DTC/Freeriderz SC</t>
  </si>
  <si>
    <t>Németh Zsolt</t>
  </si>
  <si>
    <t>Németh Zsoltné</t>
  </si>
  <si>
    <t>SAS</t>
  </si>
  <si>
    <t>Dosek Ágoston</t>
  </si>
  <si>
    <t>TTE</t>
  </si>
  <si>
    <t>Viraszkó Zoltán</t>
  </si>
  <si>
    <t>Benke Noémi</t>
  </si>
  <si>
    <t>Weiler Vince</t>
  </si>
  <si>
    <t>Tamás Bianka</t>
  </si>
  <si>
    <t>Weiler Zsolt</t>
  </si>
  <si>
    <t>Egei Balázs</t>
  </si>
  <si>
    <t>Balogh Zsombor</t>
  </si>
  <si>
    <t>Kieső pontok</t>
  </si>
  <si>
    <t>Domán Gábor</t>
  </si>
  <si>
    <t>Cseresnyés Ágnes</t>
  </si>
  <si>
    <t>Egei Tamás</t>
  </si>
  <si>
    <t>Kiss Vivien</t>
  </si>
  <si>
    <t>Egei Patrik</t>
  </si>
  <si>
    <t>Köllöd Róbert</t>
  </si>
  <si>
    <t>Pénzes Erzsébet</t>
  </si>
  <si>
    <t>Tóth Zoltán</t>
  </si>
  <si>
    <t>"</t>
  </si>
  <si>
    <t>" részt vett a versenyen de vagy hibapontos, vagy már negatív pontszáma van, vagy nem volt elég induló a kategóriában</t>
  </si>
  <si>
    <t>hely</t>
  </si>
  <si>
    <t>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</si>
  <si>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</si>
  <si>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</si>
  <si>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</si>
  <si>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</si>
  <si>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</si>
  <si>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</si>
  <si>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</si>
  <si>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</si>
  <si>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</si>
  <si>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</si>
  <si>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Maccabi Kupa középtáv Bátaapáti 04.26</t>
  </si>
  <si>
    <t>Magyar Hosszútávú Bajnokság Bátaapáti 04.27</t>
  </si>
  <si>
    <t>Domán Rajmund</t>
  </si>
  <si>
    <t>Magyar Kupa 2014</t>
  </si>
  <si>
    <t>Zoboki Mihály</t>
  </si>
  <si>
    <t>Kinde Kálmán</t>
  </si>
  <si>
    <t>Tóth Gergely</t>
  </si>
  <si>
    <t>KOS</t>
  </si>
  <si>
    <t>Balázs Ottó</t>
  </si>
  <si>
    <t>Vekerdy Zoltán</t>
  </si>
  <si>
    <t>BEA</t>
  </si>
  <si>
    <t>Kinde Vanda</t>
  </si>
  <si>
    <t>Egei Petra</t>
  </si>
  <si>
    <t>Krasznai Orsolya</t>
  </si>
  <si>
    <t>Lizán Péter</t>
  </si>
  <si>
    <t>11.</t>
  </si>
  <si>
    <t>Bunyik László</t>
  </si>
  <si>
    <t>MEA</t>
  </si>
  <si>
    <t>Kardos Ferenc dr.</t>
  </si>
  <si>
    <t>Hidas Sándor</t>
  </si>
  <si>
    <t>Hidas Zoltán</t>
  </si>
  <si>
    <t>Vajda Péter</t>
  </si>
  <si>
    <t>Lindenberger Béla</t>
  </si>
  <si>
    <t>EK</t>
  </si>
  <si>
    <t>Horváth Adrienn</t>
  </si>
  <si>
    <t>Vajda-Kovács Ágnes</t>
  </si>
  <si>
    <t>Kézsmárki Ágnes</t>
  </si>
  <si>
    <t>Kárpáti Gábor</t>
  </si>
  <si>
    <t>Magyar kupa középtáv Csöde 05.31</t>
  </si>
  <si>
    <t>Magyar kupa hosszútáv Csöde 06.01</t>
  </si>
  <si>
    <t>Németh Bence</t>
  </si>
  <si>
    <t>Csiszár Barnabás</t>
  </si>
  <si>
    <t>ZTC</t>
  </si>
  <si>
    <t>Takács Ticián</t>
  </si>
  <si>
    <t>Fekete Ágoston</t>
  </si>
  <si>
    <t>Marosffy Bálint</t>
  </si>
  <si>
    <t>Marosffy Dániel</t>
  </si>
  <si>
    <t xml:space="preserve">Dankó István </t>
  </si>
  <si>
    <t>Serestey Áron</t>
  </si>
  <si>
    <t>Szűcs Péter</t>
  </si>
  <si>
    <t>CSP</t>
  </si>
  <si>
    <t>Gillich István</t>
  </si>
  <si>
    <t>Marosffy Orsolya</t>
  </si>
  <si>
    <t>Németh Ágne dr.</t>
  </si>
  <si>
    <t>Szabó Erika</t>
  </si>
  <si>
    <t>SZT</t>
  </si>
  <si>
    <t>Gillichné Kalocsai Aderenn dr.</t>
  </si>
  <si>
    <t>Koczka Gabriella</t>
  </si>
  <si>
    <t>12.</t>
  </si>
  <si>
    <t>13.</t>
  </si>
  <si>
    <t>14.</t>
  </si>
  <si>
    <t>15.</t>
  </si>
  <si>
    <t>16.</t>
  </si>
  <si>
    <t>Szlovák Középtávú Bajnokság Magyar kupa Cseszte 06.21</t>
  </si>
  <si>
    <t>Szlovák Pontbegyűjtő Bajnokság Magyar kupa Pozsony 06.22</t>
  </si>
  <si>
    <t>Osztrák Középtávú Bajnokság, WRE, Magyar kupa Rauchwart 06.28</t>
  </si>
  <si>
    <t>Osztrák Kupa hosszútáv, WRE, Magyar kupa Rauchwart 06.29</t>
  </si>
  <si>
    <t>Kiss Zoltán</t>
  </si>
  <si>
    <t>Magyar Rövidtávú Bajnokság Tarján 07.20</t>
  </si>
  <si>
    <t>Magyar Kupa pontbegyűjtő Tarján 07.19</t>
  </si>
  <si>
    <t>dr. Cseh Veronika</t>
  </si>
  <si>
    <t>Mörk Péter</t>
  </si>
  <si>
    <t>MAT</t>
  </si>
  <si>
    <t>17.</t>
  </si>
  <si>
    <t xml:space="preserve">3. </t>
  </si>
  <si>
    <t>Gillichné Kalocsai Adrienn dr.</t>
  </si>
  <si>
    <t>Hidas-Mészáros Eszter</t>
  </si>
  <si>
    <t>Kármán Katalin</t>
  </si>
  <si>
    <t>Vajda Kovács Ágnes</t>
  </si>
  <si>
    <t>Weiler Vilmos</t>
  </si>
  <si>
    <t>Csordás Kornél</t>
  </si>
  <si>
    <t>18.</t>
  </si>
  <si>
    <t>Dravetz Walter</t>
  </si>
  <si>
    <t>Kovács Zoltán</t>
  </si>
  <si>
    <t>19.</t>
  </si>
  <si>
    <t>Kinde Dalma</t>
  </si>
  <si>
    <t>Pannon rövidtáv Veszprém 08.16</t>
  </si>
  <si>
    <t>Pannon hosszútáv Veszprém 08.17</t>
  </si>
  <si>
    <t>Molnár Botond</t>
  </si>
  <si>
    <t>Lancsár Roland</t>
  </si>
  <si>
    <t>REHAB</t>
  </si>
  <si>
    <t>Alwinger Herwig</t>
  </si>
  <si>
    <t>Gárdonyi Csilla</t>
  </si>
  <si>
    <t>MOM</t>
  </si>
  <si>
    <t>Kovács Eszter</t>
  </si>
  <si>
    <t>Őry Luca</t>
  </si>
  <si>
    <t>Kinde Zsófia</t>
  </si>
  <si>
    <t>Karagics Judit</t>
  </si>
  <si>
    <t>Allwinger Tünde</t>
  </si>
  <si>
    <t>Lendvai Katalin</t>
  </si>
  <si>
    <t>Füzy Judit dr.</t>
  </si>
  <si>
    <t>20.</t>
  </si>
  <si>
    <t>Magyar Középtávú Bajnokság Miskolc 09.28</t>
  </si>
  <si>
    <t>Cica-Cross Miskolc                 09.27</t>
  </si>
  <si>
    <t>Ledniczky Virág</t>
  </si>
  <si>
    <t>Magyar Kata</t>
  </si>
  <si>
    <t>Tóbis Anita</t>
  </si>
  <si>
    <t>Bertóti Laura</t>
  </si>
  <si>
    <t>Tőczik Hanna</t>
  </si>
  <si>
    <t>Komjáthy Ádám</t>
  </si>
  <si>
    <t>Demeter Ambrus</t>
  </si>
  <si>
    <t>Magyar Milán</t>
  </si>
  <si>
    <t>Göbler Benedek</t>
  </si>
  <si>
    <t>Németh Ágnes dr.</t>
  </si>
  <si>
    <t>Várady Szilvia</t>
  </si>
  <si>
    <t>Nyeste Ákos</t>
  </si>
  <si>
    <t>Szörényi Gábor</t>
  </si>
  <si>
    <t>Molnár Attila</t>
  </si>
  <si>
    <t>Lajszner Attila</t>
  </si>
  <si>
    <t>ETC</t>
  </si>
  <si>
    <t>21.</t>
  </si>
  <si>
    <t>22.</t>
  </si>
  <si>
    <t>Ledniczky Zsolt</t>
  </si>
  <si>
    <t>Leleszi Marcell</t>
  </si>
  <si>
    <t>Szőke Márton</t>
  </si>
  <si>
    <t>23.</t>
  </si>
  <si>
    <t>24.</t>
  </si>
  <si>
    <t>Honfi Gábor</t>
  </si>
  <si>
    <t>Kovács József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</si>
</sst>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0"/>
    <numFmt numFmtId="167" formatCode="0.0000000"/>
    <numFmt numFmtId="168" formatCode="0.00000"/>
    <numFmt numFmtId="169" formatCode="0.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trike/>
      <sz val="11"/>
      <color indexed="8"/>
      <name val="Calibri"/>
      <family val="2"/>
    </font>
    <font>
      <b/>
      <sz val="26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8" fillId="0" borderId="0" xfId="0" applyFont="1" applyFill="1" applyAlignment="1">
      <alignment/>
    </xf>
    <xf numFmtId="2" fontId="1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18" fillId="0" borderId="11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>
      <alignment/>
    </xf>
    <xf numFmtId="2" fontId="18" fillId="0" borderId="13" xfId="0" applyNumberFormat="1" applyFont="1" applyFill="1" applyBorder="1" applyAlignment="1">
      <alignment horizontal="right"/>
    </xf>
    <xf numFmtId="2" fontId="13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0" fillId="0" borderId="0" xfId="0" applyFill="1" applyBorder="1" applyAlignment="1">
      <alignment vertical="center" textRotation="180" wrapText="1"/>
    </xf>
    <xf numFmtId="0" fontId="0" fillId="0" borderId="14" xfId="0" applyFill="1" applyBorder="1" applyAlignment="1">
      <alignment/>
    </xf>
    <xf numFmtId="0" fontId="19" fillId="0" borderId="13" xfId="0" applyFont="1" applyFill="1" applyBorder="1" applyAlignment="1">
      <alignment vertical="center"/>
    </xf>
    <xf numFmtId="0" fontId="13" fillId="0" borderId="15" xfId="0" applyFont="1" applyFill="1" applyBorder="1" applyAlignment="1">
      <alignment/>
    </xf>
    <xf numFmtId="2" fontId="13" fillId="0" borderId="16" xfId="0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2" fontId="0" fillId="0" borderId="18" xfId="0" applyNumberFormat="1" applyFill="1" applyBorder="1" applyAlignment="1">
      <alignment/>
    </xf>
    <xf numFmtId="0" fontId="13" fillId="0" borderId="18" xfId="0" applyFont="1" applyFill="1" applyBorder="1" applyAlignment="1">
      <alignment horizontal="right"/>
    </xf>
    <xf numFmtId="2" fontId="13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2" fontId="18" fillId="0" borderId="18" xfId="0" applyNumberFormat="1" applyFont="1" applyFill="1" applyBorder="1" applyAlignment="1">
      <alignment/>
    </xf>
    <xf numFmtId="2" fontId="18" fillId="0" borderId="11" xfId="0" applyNumberFormat="1" applyFont="1" applyFill="1" applyBorder="1" applyAlignment="1">
      <alignment/>
    </xf>
    <xf numFmtId="0" fontId="17" fillId="0" borderId="2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 textRotation="180" wrapText="1"/>
    </xf>
    <xf numFmtId="0" fontId="17" fillId="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/>
    </xf>
    <xf numFmtId="2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8" fillId="0" borderId="18" xfId="0" applyFont="1" applyFill="1" applyBorder="1" applyAlignment="1">
      <alignment/>
    </xf>
    <xf numFmtId="0" fontId="0" fillId="0" borderId="18" xfId="0" applyFill="1" applyBorder="1" applyAlignment="1">
      <alignment horizontal="right"/>
    </xf>
    <xf numFmtId="2" fontId="0" fillId="0" borderId="25" xfId="0" applyNumberFormat="1" applyFill="1" applyBorder="1" applyAlignment="1">
      <alignment/>
    </xf>
    <xf numFmtId="0" fontId="13" fillId="0" borderId="23" xfId="0" applyFont="1" applyFill="1" applyBorder="1" applyAlignment="1">
      <alignment horizontal="right"/>
    </xf>
    <xf numFmtId="0" fontId="13" fillId="0" borderId="26" xfId="0" applyFont="1" applyFill="1" applyBorder="1" applyAlignment="1">
      <alignment horizontal="right"/>
    </xf>
    <xf numFmtId="0" fontId="17" fillId="0" borderId="27" xfId="0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17" fillId="0" borderId="27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7" fillId="0" borderId="33" xfId="0" applyFont="1" applyFill="1" applyBorder="1" applyAlignment="1">
      <alignment horizontal="center" vertical="center" textRotation="180" wrapText="1"/>
    </xf>
    <xf numFmtId="0" fontId="18" fillId="0" borderId="31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7" fillId="0" borderId="22" xfId="0" applyFont="1" applyFill="1" applyBorder="1" applyAlignment="1">
      <alignment vertical="center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2" fontId="0" fillId="0" borderId="26" xfId="0" applyNumberFormat="1" applyFill="1" applyBorder="1" applyAlignment="1">
      <alignment/>
    </xf>
    <xf numFmtId="2" fontId="0" fillId="0" borderId="31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2" fontId="0" fillId="0" borderId="32" xfId="0" applyNumberForma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2" fontId="0" fillId="0" borderId="11" xfId="0" applyNumberFormat="1" applyFill="1" applyBorder="1" applyAlignment="1">
      <alignment horizontal="right"/>
    </xf>
    <xf numFmtId="2" fontId="0" fillId="0" borderId="18" xfId="0" applyNumberFormat="1" applyFill="1" applyBorder="1" applyAlignment="1">
      <alignment horizontal="right"/>
    </xf>
    <xf numFmtId="2" fontId="0" fillId="0" borderId="14" xfId="0" applyNumberFormat="1" applyFont="1" applyFill="1" applyBorder="1" applyAlignment="1">
      <alignment/>
    </xf>
    <xf numFmtId="0" fontId="17" fillId="0" borderId="36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40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17" fillId="0" borderId="42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44" xfId="0" applyFont="1" applyFill="1" applyBorder="1" applyAlignment="1">
      <alignment horizontal="right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2" fontId="0" fillId="0" borderId="47" xfId="0" applyNumberFormat="1" applyFill="1" applyBorder="1" applyAlignment="1">
      <alignment/>
    </xf>
    <xf numFmtId="2" fontId="0" fillId="0" borderId="44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45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48" xfId="0" applyNumberFormat="1" applyFill="1" applyBorder="1" applyAlignment="1">
      <alignment/>
    </xf>
    <xf numFmtId="0" fontId="13" fillId="0" borderId="31" xfId="0" applyFont="1" applyFill="1" applyBorder="1" applyAlignment="1">
      <alignment horizontal="right"/>
    </xf>
    <xf numFmtId="0" fontId="13" fillId="0" borderId="45" xfId="0" applyFont="1" applyFill="1" applyBorder="1" applyAlignment="1">
      <alignment/>
    </xf>
    <xf numFmtId="0" fontId="0" fillId="0" borderId="44" xfId="0" applyFill="1" applyBorder="1" applyAlignment="1">
      <alignment/>
    </xf>
    <xf numFmtId="2" fontId="13" fillId="0" borderId="46" xfId="0" applyNumberFormat="1" applyFont="1" applyFill="1" applyBorder="1" applyAlignment="1">
      <alignment/>
    </xf>
    <xf numFmtId="2" fontId="0" fillId="0" borderId="49" xfId="0" applyNumberFormat="1" applyFill="1" applyBorder="1" applyAlignment="1">
      <alignment/>
    </xf>
    <xf numFmtId="2" fontId="13" fillId="0" borderId="50" xfId="0" applyNumberFormat="1" applyFont="1" applyFill="1" applyBorder="1" applyAlignment="1">
      <alignment/>
    </xf>
    <xf numFmtId="2" fontId="0" fillId="0" borderId="51" xfId="0" applyNumberFormat="1" applyFill="1" applyBorder="1" applyAlignment="1">
      <alignment/>
    </xf>
    <xf numFmtId="0" fontId="13" fillId="0" borderId="14" xfId="0" applyFont="1" applyFill="1" applyBorder="1" applyAlignment="1">
      <alignment horizontal="right"/>
    </xf>
    <xf numFmtId="0" fontId="13" fillId="0" borderId="50" xfId="0" applyFont="1" applyFill="1" applyBorder="1" applyAlignment="1">
      <alignment/>
    </xf>
    <xf numFmtId="2" fontId="0" fillId="0" borderId="52" xfId="0" applyNumberFormat="1" applyFill="1" applyBorder="1" applyAlignment="1">
      <alignment/>
    </xf>
    <xf numFmtId="2" fontId="0" fillId="0" borderId="53" xfId="0" applyNumberForma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9" xfId="0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54" xfId="0" applyFill="1" applyBorder="1" applyAlignment="1">
      <alignment/>
    </xf>
    <xf numFmtId="2" fontId="0" fillId="0" borderId="54" xfId="0" applyNumberForma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15" xfId="0" applyFont="1" applyFill="1" applyBorder="1" applyAlignment="1">
      <alignment/>
    </xf>
    <xf numFmtId="2" fontId="18" fillId="0" borderId="11" xfId="0" applyNumberFormat="1" applyFont="1" applyFill="1" applyBorder="1" applyAlignment="1">
      <alignment horizontal="right"/>
    </xf>
    <xf numFmtId="2" fontId="0" fillId="25" borderId="11" xfId="0" applyNumberFormat="1" applyFill="1" applyBorder="1" applyAlignment="1">
      <alignment/>
    </xf>
    <xf numFmtId="2" fontId="0" fillId="25" borderId="44" xfId="0" applyNumberFormat="1" applyFill="1" applyBorder="1" applyAlignment="1">
      <alignment/>
    </xf>
    <xf numFmtId="2" fontId="18" fillId="0" borderId="31" xfId="0" applyNumberFormat="1" applyFont="1" applyFill="1" applyBorder="1" applyAlignment="1">
      <alignment/>
    </xf>
    <xf numFmtId="2" fontId="0" fillId="25" borderId="10" xfId="0" applyNumberFormat="1" applyFill="1" applyBorder="1" applyAlignment="1">
      <alignment/>
    </xf>
    <xf numFmtId="0" fontId="19" fillId="0" borderId="36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right"/>
    </xf>
    <xf numFmtId="2" fontId="18" fillId="0" borderId="44" xfId="0" applyNumberFormat="1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18" fillId="0" borderId="54" xfId="0" applyFont="1" applyFill="1" applyBorder="1" applyAlignment="1">
      <alignment/>
    </xf>
    <xf numFmtId="0" fontId="13" fillId="0" borderId="54" xfId="0" applyFont="1" applyFill="1" applyBorder="1" applyAlignment="1">
      <alignment horizontal="right"/>
    </xf>
    <xf numFmtId="2" fontId="0" fillId="25" borderId="47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28125" style="1" customWidth="1"/>
    <col min="2" max="2" width="21.57421875" style="1" customWidth="1"/>
    <col min="3" max="3" width="15.8515625" style="1" customWidth="1"/>
    <col min="4" max="5" width="9.140625" style="1" customWidth="1"/>
    <col min="6" max="6" width="9.140625" style="6" customWidth="1"/>
    <col min="7" max="18" width="9.140625" style="1" customWidth="1"/>
    <col min="19" max="33" width="9.00390625" style="14" customWidth="1"/>
    <col min="34" max="16384" width="9.00390625" style="1" customWidth="1"/>
  </cols>
  <sheetData>
    <row r="1" spans="1:20" ht="30.75" customHeight="1" thickBo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31"/>
      <c r="T1" s="31"/>
    </row>
    <row r="2" spans="1:33" s="5" customFormat="1" ht="166.5" customHeight="1" thickBot="1">
      <c r="A2" s="61" t="s">
        <v>54</v>
      </c>
      <c r="B2" s="42" t="s">
        <v>55</v>
      </c>
      <c r="C2" s="69" t="s">
        <v>0</v>
      </c>
      <c r="D2" s="65" t="s">
        <v>66</v>
      </c>
      <c r="E2" s="44" t="s">
        <v>67</v>
      </c>
      <c r="F2" s="65" t="s">
        <v>94</v>
      </c>
      <c r="G2" s="65" t="s">
        <v>95</v>
      </c>
      <c r="H2" s="65" t="s">
        <v>119</v>
      </c>
      <c r="I2" s="65" t="s">
        <v>120</v>
      </c>
      <c r="J2" s="65" t="s">
        <v>121</v>
      </c>
      <c r="K2" s="65" t="s">
        <v>122</v>
      </c>
      <c r="L2" s="44" t="s">
        <v>125</v>
      </c>
      <c r="M2" s="44" t="s">
        <v>124</v>
      </c>
      <c r="N2" s="44" t="s">
        <v>142</v>
      </c>
      <c r="O2" s="44" t="s">
        <v>143</v>
      </c>
      <c r="P2" s="44" t="s">
        <v>159</v>
      </c>
      <c r="Q2" s="44" t="s">
        <v>158</v>
      </c>
      <c r="R2" s="55" t="s">
        <v>1</v>
      </c>
      <c r="S2" s="29"/>
      <c r="T2" s="2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33" s="2" customFormat="1" ht="14.25">
      <c r="A3" s="114" t="s">
        <v>56</v>
      </c>
      <c r="B3" s="98" t="s">
        <v>3</v>
      </c>
      <c r="C3" s="99" t="s">
        <v>11</v>
      </c>
      <c r="D3" s="140">
        <f>100-(72.32-65.77)/65.77*50</f>
        <v>95.02052607571841</v>
      </c>
      <c r="E3" s="101">
        <f>100-(114.93-114.93)/114.93*50</f>
        <v>100</v>
      </c>
      <c r="F3" s="133"/>
      <c r="G3" s="101"/>
      <c r="H3" s="101"/>
      <c r="I3" s="101"/>
      <c r="J3" s="101">
        <f>100-(58.6-58.6)/58.6*50</f>
        <v>100</v>
      </c>
      <c r="K3" s="100">
        <f>100-(92.1-92.1)/92.1*50</f>
        <v>100</v>
      </c>
      <c r="L3" s="101"/>
      <c r="M3" s="101"/>
      <c r="N3" s="8">
        <f>100-(34.83-33.77)/33.77*50</f>
        <v>98.43055966834469</v>
      </c>
      <c r="O3" s="101">
        <f>100-(121.38-121.38)/121.38*50</f>
        <v>100</v>
      </c>
      <c r="P3" s="101">
        <f>100-(63.15-63.15)/63.15*50</f>
        <v>100</v>
      </c>
      <c r="Q3" s="8">
        <f>100-(69.9-69.9)/69.9*50</f>
        <v>100</v>
      </c>
      <c r="R3" s="111">
        <f>SUM(D3:Q3)-D3</f>
        <v>698.4305596683447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s="2" customFormat="1" ht="14.25">
      <c r="A4" s="63" t="s">
        <v>57</v>
      </c>
      <c r="B4" s="72" t="s">
        <v>24</v>
      </c>
      <c r="C4" s="73" t="s">
        <v>20</v>
      </c>
      <c r="D4" s="77">
        <f>100-(65.77-65.77)/65.77*50</f>
        <v>100</v>
      </c>
      <c r="E4" s="46" t="s">
        <v>52</v>
      </c>
      <c r="F4" s="8">
        <f>100-(64.47-61.85)/61.85*50</f>
        <v>97.88197251414714</v>
      </c>
      <c r="G4" s="128">
        <f>100-(129.13-103.25)/103.25*50</f>
        <v>87.46731234866829</v>
      </c>
      <c r="H4" s="8"/>
      <c r="I4" s="8"/>
      <c r="J4" s="77">
        <f>100-(70.37-58.6)/58.6*50</f>
        <v>89.95733788395904</v>
      </c>
      <c r="K4" s="77">
        <f>100-(109.73-92.1)/92.1*50</f>
        <v>90.42888165038002</v>
      </c>
      <c r="L4" s="128">
        <f>100-(87.62-64.92)/64.92*50</f>
        <v>82.51694393099199</v>
      </c>
      <c r="M4" s="8">
        <f>100-(28.43-28.43)/28.43*50</f>
        <v>100</v>
      </c>
      <c r="N4" s="8">
        <f>100-(35.95-33.77)/33.77*50</f>
        <v>96.77228309150134</v>
      </c>
      <c r="O4" s="10" t="s">
        <v>52</v>
      </c>
      <c r="P4" s="8"/>
      <c r="Q4" s="8">
        <f>100-(78.52-69.9)/69.9*50</f>
        <v>93.8340486409156</v>
      </c>
      <c r="R4" s="57">
        <f>SUM(D4:Q4)-G4-L4</f>
        <v>668.8745237809031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s="2" customFormat="1" ht="14.25">
      <c r="A5" s="63" t="s">
        <v>58</v>
      </c>
      <c r="B5" s="72" t="s">
        <v>12</v>
      </c>
      <c r="C5" s="73" t="s">
        <v>30</v>
      </c>
      <c r="D5" s="77"/>
      <c r="E5" s="77">
        <f>100-(139.83-114.93)/114.93*50</f>
        <v>89.16731923779692</v>
      </c>
      <c r="F5" s="7"/>
      <c r="G5" s="8"/>
      <c r="H5" s="8"/>
      <c r="I5" s="8"/>
      <c r="J5" s="77">
        <f>100-(68.88-58.6)/58.6*50</f>
        <v>91.22866894197952</v>
      </c>
      <c r="K5" s="8">
        <f>100-(108.53-92.1)/92.1*50</f>
        <v>91.08034744842561</v>
      </c>
      <c r="L5" s="8">
        <f>100-(86.82-64.92)/64.92*50</f>
        <v>83.13308687615528</v>
      </c>
      <c r="M5" s="8">
        <f>100-(32.02-28.43)/28.43*50</f>
        <v>93.68624692226521</v>
      </c>
      <c r="N5" s="8"/>
      <c r="O5" s="8"/>
      <c r="P5" s="8">
        <f>100-(66.7-63.15)/63.15*50</f>
        <v>97.18923198733175</v>
      </c>
      <c r="Q5" s="47">
        <f>100-(71.07-69.9)/69.9*50</f>
        <v>99.16309012875537</v>
      </c>
      <c r="R5" s="57">
        <f>SUM(D5:Q5)</f>
        <v>644.6479915427096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s="2" customFormat="1" ht="14.25">
      <c r="A6" s="63" t="s">
        <v>59</v>
      </c>
      <c r="B6" s="72" t="s">
        <v>8</v>
      </c>
      <c r="C6" s="73" t="s">
        <v>9</v>
      </c>
      <c r="D6" s="77"/>
      <c r="E6" s="77">
        <f>100-(154.68-114.93)/114.93*50</f>
        <v>82.70686504829027</v>
      </c>
      <c r="F6" s="7"/>
      <c r="G6" s="8"/>
      <c r="H6" s="8"/>
      <c r="I6" s="8"/>
      <c r="J6" s="8"/>
      <c r="K6" s="8"/>
      <c r="L6" s="8">
        <f>100-(77-64.92)/64.92*50</f>
        <v>90.6962415280345</v>
      </c>
      <c r="M6" s="13">
        <f>100-(32.63-28.43)/28.43*50</f>
        <v>92.61343651072809</v>
      </c>
      <c r="N6" s="8">
        <f>100-(41.33-33.77)/33.77*50</f>
        <v>88.80663310630737</v>
      </c>
      <c r="O6" s="8"/>
      <c r="P6" s="8">
        <f>100-(70.78-63.15)/63.15*50</f>
        <v>93.95882818685669</v>
      </c>
      <c r="Q6" s="8">
        <f>100-(81.35-69.9)/69.9*50</f>
        <v>91.80972818311875</v>
      </c>
      <c r="R6" s="57">
        <f>SUM(D6:Q6)</f>
        <v>540.5917325633357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2" customFormat="1" ht="14.25">
      <c r="A7" s="63" t="s">
        <v>60</v>
      </c>
      <c r="B7" s="72" t="s">
        <v>46</v>
      </c>
      <c r="C7" s="73" t="s">
        <v>4</v>
      </c>
      <c r="D7" s="77"/>
      <c r="E7" s="77">
        <f>100-(125.32-114.93)/114.93*50</f>
        <v>95.47985730444618</v>
      </c>
      <c r="F7" s="121">
        <f>100-(61.85-61.85)/61.85*50</f>
        <v>100</v>
      </c>
      <c r="G7" s="8">
        <f>100-(120.27-103.25)/103.25*50</f>
        <v>91.75786924939467</v>
      </c>
      <c r="H7" s="8"/>
      <c r="I7" s="8"/>
      <c r="J7" s="8"/>
      <c r="K7" s="77"/>
      <c r="L7" s="8">
        <f>100-(68.36-64.92)/64.92*50</f>
        <v>97.3505853357979</v>
      </c>
      <c r="M7" s="10"/>
      <c r="N7" s="8">
        <f>100-(33.77-33.77)/33.77*50</f>
        <v>100</v>
      </c>
      <c r="O7" s="7"/>
      <c r="P7" s="8"/>
      <c r="Q7" s="47"/>
      <c r="R7" s="57">
        <f>SUM(D7:Q7)</f>
        <v>484.58831188963876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s="2" customFormat="1" ht="14.25">
      <c r="A8" s="63" t="s">
        <v>61</v>
      </c>
      <c r="B8" s="72" t="s">
        <v>5</v>
      </c>
      <c r="C8" s="73" t="s">
        <v>17</v>
      </c>
      <c r="D8" s="78"/>
      <c r="E8" s="77">
        <f>100-(143.12-114.93)/114.93*50</f>
        <v>87.73601322544158</v>
      </c>
      <c r="F8" s="7"/>
      <c r="G8" s="10" t="s">
        <v>52</v>
      </c>
      <c r="H8" s="8"/>
      <c r="I8" s="8"/>
      <c r="J8" s="8"/>
      <c r="K8" s="8"/>
      <c r="L8" s="8"/>
      <c r="M8" s="13">
        <f>100-(31.83-28.43)/28.43*50</f>
        <v>94.02040098487514</v>
      </c>
      <c r="N8" s="8">
        <f>100-(39.82-33.77)/33.77*50</f>
        <v>91.04234527687296</v>
      </c>
      <c r="O8" s="8">
        <f>100-(155.38-121.38)/121.38*50</f>
        <v>85.99439775910363</v>
      </c>
      <c r="P8" s="8"/>
      <c r="Q8" s="8">
        <f>100-(85.73-69.9)/69.9*50</f>
        <v>88.67668097281832</v>
      </c>
      <c r="R8" s="57">
        <f>SUM(D8:Q8)</f>
        <v>447.4698382191117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2" customFormat="1" ht="14.25">
      <c r="A9" s="63" t="s">
        <v>62</v>
      </c>
      <c r="B9" s="72" t="s">
        <v>6</v>
      </c>
      <c r="C9" s="71" t="s">
        <v>25</v>
      </c>
      <c r="D9" s="78">
        <f>100-(66.53-65.77)/65.77*50</f>
        <v>99.42222897977801</v>
      </c>
      <c r="E9" s="106" t="s">
        <v>52</v>
      </c>
      <c r="F9" s="7"/>
      <c r="G9" s="7"/>
      <c r="H9" s="8"/>
      <c r="I9" s="8"/>
      <c r="J9" s="77"/>
      <c r="K9" s="8"/>
      <c r="L9" s="8">
        <f>100-(64.92-64.92)/64.92*50</f>
        <v>100</v>
      </c>
      <c r="M9" s="13">
        <f>100-(29.95-28.43)/28.43*50</f>
        <v>97.32676749912065</v>
      </c>
      <c r="N9" s="7"/>
      <c r="O9" s="7"/>
      <c r="P9" s="10" t="s">
        <v>52</v>
      </c>
      <c r="Q9" s="8">
        <f>100-(83.63-69.9)/69.9*50</f>
        <v>90.1788268955651</v>
      </c>
      <c r="R9" s="57">
        <f>SUM(D9:Q9)</f>
        <v>386.92782337446374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2" customFormat="1" ht="14.25">
      <c r="A10" s="63" t="s">
        <v>63</v>
      </c>
      <c r="B10" s="72" t="s">
        <v>68</v>
      </c>
      <c r="C10" s="73" t="s">
        <v>9</v>
      </c>
      <c r="D10" s="78">
        <f>100-(93.77-65.77)/65.77*50</f>
        <v>78.71369925497947</v>
      </c>
      <c r="E10" s="77">
        <f>100-(186.92-114.93)/114.93*50</f>
        <v>68.68093622204822</v>
      </c>
      <c r="F10" s="7"/>
      <c r="G10" s="77"/>
      <c r="H10" s="8"/>
      <c r="I10" s="8"/>
      <c r="J10" s="8"/>
      <c r="K10" s="8"/>
      <c r="L10" s="8"/>
      <c r="M10" s="13">
        <f>100-(39.48-28.43)/28.43*50</f>
        <v>80.56630320084417</v>
      </c>
      <c r="N10" s="8">
        <f>100-(46.97-33.77)/33.77*50</f>
        <v>80.45602605863193</v>
      </c>
      <c r="O10" s="8">
        <f>100-(173.73-121.38)/121.38*50</f>
        <v>78.43549184379634</v>
      </c>
      <c r="P10" s="8"/>
      <c r="Q10" s="8"/>
      <c r="R10" s="57">
        <f>SUM(D10:Q10)</f>
        <v>386.85245658030016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s="2" customFormat="1" ht="14.25">
      <c r="A11" s="63" t="s">
        <v>64</v>
      </c>
      <c r="B11" s="72" t="s">
        <v>36</v>
      </c>
      <c r="C11" s="73" t="s">
        <v>7</v>
      </c>
      <c r="D11" s="79"/>
      <c r="E11" s="77">
        <f>100-(159.83-114.93)/114.93*50</f>
        <v>80.46637083442096</v>
      </c>
      <c r="F11" s="7"/>
      <c r="G11" s="8"/>
      <c r="H11" s="8"/>
      <c r="I11" s="8"/>
      <c r="J11" s="7"/>
      <c r="K11" s="8"/>
      <c r="L11" s="8">
        <f>100-(68.59-64.92)/64.92*50</f>
        <v>97.17344423906346</v>
      </c>
      <c r="M11" s="8">
        <f>100-(33.77-28.43)/28.43*50</f>
        <v>90.60851213506858</v>
      </c>
      <c r="N11" s="7"/>
      <c r="O11" s="8"/>
      <c r="P11" s="7"/>
      <c r="Q11" s="8">
        <f>100-(80.6-69.9)/69.9*50</f>
        <v>92.34620886981403</v>
      </c>
      <c r="R11" s="57">
        <f>SUM(D11:Q11)</f>
        <v>360.594536078367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2" customFormat="1" ht="14.25">
      <c r="A12" s="63" t="s">
        <v>65</v>
      </c>
      <c r="B12" s="72" t="s">
        <v>16</v>
      </c>
      <c r="C12" s="73" t="s">
        <v>30</v>
      </c>
      <c r="D12" s="78"/>
      <c r="E12" s="77"/>
      <c r="F12" s="7"/>
      <c r="G12" s="8"/>
      <c r="H12" s="10" t="s">
        <v>52</v>
      </c>
      <c r="I12" s="8">
        <f>100-(137.98-87.8)/87.8*50</f>
        <v>71.4236902050114</v>
      </c>
      <c r="J12" s="8"/>
      <c r="K12" s="8"/>
      <c r="L12" s="8">
        <f>100-(82.08-64.92)/64.92*50</f>
        <v>86.7837338262477</v>
      </c>
      <c r="M12" s="13">
        <f>100-(32.73-28.43)/28.43*50</f>
        <v>92.43756595145973</v>
      </c>
      <c r="N12" s="8"/>
      <c r="O12" s="8"/>
      <c r="P12" s="8"/>
      <c r="Q12" s="47"/>
      <c r="R12" s="57">
        <f>SUM(D12:Q12)</f>
        <v>250.64498998271884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2" customFormat="1" ht="14.25">
      <c r="A13" s="63" t="s">
        <v>81</v>
      </c>
      <c r="B13" s="72" t="s">
        <v>93</v>
      </c>
      <c r="C13" s="73" t="s">
        <v>89</v>
      </c>
      <c r="D13" s="30"/>
      <c r="E13" s="77">
        <f>100-(184.38-114.93)/114.93*50</f>
        <v>69.78595666927696</v>
      </c>
      <c r="F13" s="3"/>
      <c r="J13" s="8"/>
      <c r="L13" s="8">
        <f>100-(92.17-64.92)/64.92*50</f>
        <v>79.01263093037585</v>
      </c>
      <c r="M13" s="13"/>
      <c r="Q13" s="47">
        <f>100-(94.48-69.9)/69.9*50</f>
        <v>82.41773962804007</v>
      </c>
      <c r="R13" s="57">
        <f>SUM(D13:Q13)</f>
        <v>231.2163272276929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2" customFormat="1" ht="14.25">
      <c r="A14" s="63" t="s">
        <v>114</v>
      </c>
      <c r="B14" s="72" t="s">
        <v>21</v>
      </c>
      <c r="C14" s="73" t="s">
        <v>7</v>
      </c>
      <c r="D14" s="30"/>
      <c r="F14" s="3"/>
      <c r="J14" s="8"/>
      <c r="L14" s="8">
        <f>100-(69.28-64.92)/64.92*50</f>
        <v>96.64202094886014</v>
      </c>
      <c r="M14" s="13">
        <f>100-(31.08-28.43)/28.43*50</f>
        <v>95.33943017938797</v>
      </c>
      <c r="Q14" s="48"/>
      <c r="R14" s="57">
        <f>SUM(D14:Q14)</f>
        <v>191.98145112824812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2" customFormat="1" ht="14.25">
      <c r="A15" s="63" t="s">
        <v>115</v>
      </c>
      <c r="B15" s="72" t="s">
        <v>102</v>
      </c>
      <c r="C15" s="71" t="s">
        <v>2</v>
      </c>
      <c r="D15" s="78"/>
      <c r="E15" s="8"/>
      <c r="F15" s="7"/>
      <c r="G15" s="8"/>
      <c r="H15" s="106"/>
      <c r="I15" s="77"/>
      <c r="J15" s="8"/>
      <c r="K15" s="8"/>
      <c r="L15" s="8"/>
      <c r="M15" s="8">
        <f>100-(31.58-28.43)/28.43*50</f>
        <v>94.46007738304608</v>
      </c>
      <c r="N15" s="8"/>
      <c r="O15" s="8"/>
      <c r="P15" s="8"/>
      <c r="Q15" s="8">
        <f>100-(74.47-69.9)/69.9*50</f>
        <v>96.7310443490701</v>
      </c>
      <c r="R15" s="57">
        <f>SUM(D15:Q15)</f>
        <v>191.1911217321162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2" customFormat="1" ht="14.25">
      <c r="A16" s="63" t="s">
        <v>116</v>
      </c>
      <c r="B16" s="72" t="s">
        <v>51</v>
      </c>
      <c r="C16" s="71" t="s">
        <v>33</v>
      </c>
      <c r="D16" s="78">
        <f>100-(67.92-65.77)/65.77*50</f>
        <v>98.36551619279307</v>
      </c>
      <c r="E16" s="8">
        <f>100-(140.18-114.93)/114.93*50</f>
        <v>89.01505264073784</v>
      </c>
      <c r="F16" s="7"/>
      <c r="G16" s="8"/>
      <c r="H16" s="77"/>
      <c r="I16" s="77"/>
      <c r="J16" s="7"/>
      <c r="K16" s="8"/>
      <c r="L16" s="8"/>
      <c r="M16" s="13"/>
      <c r="N16" s="8"/>
      <c r="O16" s="8"/>
      <c r="P16" s="8"/>
      <c r="Q16" s="47"/>
      <c r="R16" s="57">
        <f>SUM(D16:Q16)</f>
        <v>187.3805688335309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s="2" customFormat="1" ht="14.25">
      <c r="A17" s="63" t="s">
        <v>117</v>
      </c>
      <c r="B17" s="72" t="s">
        <v>86</v>
      </c>
      <c r="C17" s="71" t="s">
        <v>33</v>
      </c>
      <c r="D17" s="30"/>
      <c r="E17" s="8"/>
      <c r="F17" s="3"/>
      <c r="H17" s="59"/>
      <c r="I17" s="59"/>
      <c r="J17" s="8"/>
      <c r="L17" s="8"/>
      <c r="M17" s="13">
        <f>100-(37.82-28.43)/28.43*50</f>
        <v>83.48575448469926</v>
      </c>
      <c r="Q17" s="8">
        <f>100-(103-69.9)/69.9*50</f>
        <v>76.3233190271817</v>
      </c>
      <c r="R17" s="57">
        <f>SUM(D17:Q17)</f>
        <v>159.80907351188097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2" customFormat="1" ht="14.25">
      <c r="A18" s="63" t="s">
        <v>118</v>
      </c>
      <c r="B18" s="72" t="s">
        <v>48</v>
      </c>
      <c r="C18" s="71" t="s">
        <v>4</v>
      </c>
      <c r="D18" s="78"/>
      <c r="E18" s="8"/>
      <c r="F18" s="7"/>
      <c r="G18" s="8"/>
      <c r="H18" s="106"/>
      <c r="I18" s="77"/>
      <c r="J18" s="8"/>
      <c r="K18" s="8"/>
      <c r="L18" s="8"/>
      <c r="M18" s="13"/>
      <c r="N18" s="8">
        <f>100-(36.87-33.77)/33.77*50</f>
        <v>95.41012733195144</v>
      </c>
      <c r="O18" s="8"/>
      <c r="P18" s="8"/>
      <c r="Q18" s="8"/>
      <c r="R18" s="57">
        <f>SUM(D18:Q18)</f>
        <v>95.41012733195144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s="2" customFormat="1" ht="14.25">
      <c r="A19" s="63" t="s">
        <v>129</v>
      </c>
      <c r="B19" s="72" t="s">
        <v>96</v>
      </c>
      <c r="C19" s="73" t="s">
        <v>23</v>
      </c>
      <c r="D19" s="78"/>
      <c r="E19" s="8"/>
      <c r="F19" s="8">
        <f>100-(82.63-61.85)/61.85*50</f>
        <v>83.20129345189976</v>
      </c>
      <c r="G19" s="8"/>
      <c r="H19" s="8"/>
      <c r="I19" s="8"/>
      <c r="J19" s="8"/>
      <c r="K19" s="8"/>
      <c r="L19" s="8"/>
      <c r="M19" s="13"/>
      <c r="N19" s="8"/>
      <c r="O19" s="8"/>
      <c r="P19" s="8"/>
      <c r="Q19" s="8"/>
      <c r="R19" s="57">
        <f>SUM(D19:Q19)</f>
        <v>83.20129345189976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2" customFormat="1" ht="15" thickBot="1">
      <c r="A20" s="64" t="s">
        <v>137</v>
      </c>
      <c r="B20" s="74" t="s">
        <v>171</v>
      </c>
      <c r="C20" s="75" t="s">
        <v>7</v>
      </c>
      <c r="D20" s="80"/>
      <c r="E20" s="36"/>
      <c r="F20" s="40"/>
      <c r="G20" s="36"/>
      <c r="H20" s="37"/>
      <c r="I20" s="36"/>
      <c r="J20" s="36"/>
      <c r="K20" s="36"/>
      <c r="L20" s="36"/>
      <c r="M20" s="112"/>
      <c r="N20" s="36"/>
      <c r="O20" s="36"/>
      <c r="P20" s="36"/>
      <c r="Q20" s="76">
        <f>100-(122.53-69.9)/69.9*50</f>
        <v>62.353361945636635</v>
      </c>
      <c r="R20" s="58">
        <f>SUM(D20:Q20)</f>
        <v>62.353361945636635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4:18" s="14" customFormat="1" ht="14.25">
      <c r="D21" s="15"/>
      <c r="E21" s="15"/>
      <c r="F21" s="16"/>
      <c r="G21" s="15"/>
      <c r="H21" s="17"/>
      <c r="I21" s="15"/>
      <c r="J21" s="15"/>
      <c r="K21" s="15"/>
      <c r="L21" s="15"/>
      <c r="M21" s="15"/>
      <c r="N21" s="15"/>
      <c r="O21" s="15"/>
      <c r="P21" s="15"/>
      <c r="Q21" s="15"/>
      <c r="R21" s="18"/>
    </row>
    <row r="22" spans="6:18" s="14" customFormat="1" ht="14.25">
      <c r="F22" s="19"/>
      <c r="J22" s="15"/>
      <c r="L22" s="15"/>
      <c r="N22" s="15"/>
      <c r="O22" s="15"/>
      <c r="R22" s="18"/>
    </row>
    <row r="23" spans="1:18" ht="14.25">
      <c r="A23" s="14"/>
      <c r="B23" s="14"/>
      <c r="C23" s="14"/>
      <c r="D23" s="15"/>
      <c r="E23" s="15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="28" customFormat="1" ht="14.25">
      <c r="A24" s="28" t="s">
        <v>43</v>
      </c>
    </row>
    <row r="25" s="27" customFormat="1" ht="14.25">
      <c r="A25" s="27" t="s">
        <v>53</v>
      </c>
    </row>
  </sheetData>
  <sheetProtection/>
  <autoFilter ref="B2:U2">
    <sortState ref="B3:U25">
      <sortCondition descending="1" sortBy="value" ref="Q3:Q25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T8" sqref="T8"/>
    </sheetView>
  </sheetViews>
  <sheetFormatPr defaultColWidth="9.140625" defaultRowHeight="15"/>
  <cols>
    <col min="1" max="1" width="5.140625" style="1" customWidth="1"/>
    <col min="2" max="2" width="19.8515625" style="1" customWidth="1"/>
    <col min="3" max="3" width="11.8515625" style="1" customWidth="1"/>
    <col min="4" max="5" width="9.140625" style="1" customWidth="1"/>
    <col min="6" max="6" width="9.140625" style="6" customWidth="1"/>
    <col min="7" max="18" width="9.140625" style="1" customWidth="1"/>
    <col min="19" max="28" width="9.00390625" style="14" customWidth="1"/>
    <col min="29" max="16384" width="9.00390625" style="1" customWidth="1"/>
  </cols>
  <sheetData>
    <row r="1" spans="1:20" ht="28.5" customHeight="1" thickBo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31"/>
      <c r="T1" s="31"/>
    </row>
    <row r="2" spans="1:20" ht="184.5" thickBot="1">
      <c r="A2" s="85" t="s">
        <v>54</v>
      </c>
      <c r="B2" s="42" t="s">
        <v>55</v>
      </c>
      <c r="C2" s="69" t="s">
        <v>0</v>
      </c>
      <c r="D2" s="65" t="s">
        <v>66</v>
      </c>
      <c r="E2" s="44" t="s">
        <v>67</v>
      </c>
      <c r="F2" s="65" t="s">
        <v>94</v>
      </c>
      <c r="G2" s="65" t="s">
        <v>95</v>
      </c>
      <c r="H2" s="65" t="s">
        <v>119</v>
      </c>
      <c r="I2" s="65" t="s">
        <v>120</v>
      </c>
      <c r="J2" s="65" t="s">
        <v>121</v>
      </c>
      <c r="K2" s="65" t="s">
        <v>122</v>
      </c>
      <c r="L2" s="44" t="s">
        <v>125</v>
      </c>
      <c r="M2" s="44" t="s">
        <v>124</v>
      </c>
      <c r="N2" s="44" t="s">
        <v>142</v>
      </c>
      <c r="O2" s="44" t="s">
        <v>143</v>
      </c>
      <c r="P2" s="44" t="s">
        <v>159</v>
      </c>
      <c r="Q2" s="44" t="s">
        <v>158</v>
      </c>
      <c r="R2" s="55" t="s">
        <v>1</v>
      </c>
      <c r="S2" s="29"/>
      <c r="T2" s="29"/>
    </row>
    <row r="3" spans="1:18" ht="14.25">
      <c r="A3" s="94" t="s">
        <v>56</v>
      </c>
      <c r="B3" s="98" t="s">
        <v>86</v>
      </c>
      <c r="C3" s="99" t="s">
        <v>33</v>
      </c>
      <c r="D3" s="101">
        <f>100-(67.62-67.62)/67.62*50</f>
        <v>100</v>
      </c>
      <c r="E3" s="101">
        <f>100-(91.15-91.15)/91.15*50</f>
        <v>100</v>
      </c>
      <c r="F3" s="133"/>
      <c r="G3" s="101"/>
      <c r="H3" s="101"/>
      <c r="I3" s="101"/>
      <c r="J3" s="101">
        <f>100-(51.98-51.98)/51.98*50</f>
        <v>100</v>
      </c>
      <c r="K3" s="101">
        <f>100-(54.35-54.35)/54.35*50</f>
        <v>100</v>
      </c>
      <c r="L3" s="101">
        <f>100-(62.8-60.62)/60.62*50</f>
        <v>98.20191355988123</v>
      </c>
      <c r="M3" s="97"/>
      <c r="N3" s="101">
        <f>100-(35.7-35.7)/35.7*50</f>
        <v>100</v>
      </c>
      <c r="O3" s="126">
        <f>100-(119.32-106.92)/106.92*50</f>
        <v>94.20127197904976</v>
      </c>
      <c r="P3" s="101">
        <f>100-(56.22-55.62)/55.62*50</f>
        <v>99.46062567421791</v>
      </c>
      <c r="Q3" s="110"/>
      <c r="R3" s="111">
        <f>SUM(D3:Q3)-O3</f>
        <v>697.6625392340991</v>
      </c>
    </row>
    <row r="4" spans="1:18" ht="14.25">
      <c r="A4" s="87" t="s">
        <v>57</v>
      </c>
      <c r="B4" s="72" t="s">
        <v>87</v>
      </c>
      <c r="C4" s="73" t="s">
        <v>9</v>
      </c>
      <c r="D4" s="13">
        <f>100-(93.62-67.62)/67.62*50</f>
        <v>80.77491866311742</v>
      </c>
      <c r="E4" s="125">
        <f>100-(126.78-91.15)/91.15*50</f>
        <v>80.45529347229842</v>
      </c>
      <c r="F4" s="3"/>
      <c r="G4" s="2"/>
      <c r="H4" s="2"/>
      <c r="I4" s="2"/>
      <c r="J4" s="13">
        <f>100-(66.8-51.98)/51.98*50</f>
        <v>85.74451712196999</v>
      </c>
      <c r="K4" s="13">
        <f>100-(60.35-54.35)/54.35*50</f>
        <v>94.48022079116835</v>
      </c>
      <c r="L4" s="13">
        <f>100-(60.62-60.62)/60.62*50</f>
        <v>100</v>
      </c>
      <c r="M4" s="13">
        <f>100-(35.9-35.9)/35.9*50</f>
        <v>100</v>
      </c>
      <c r="N4" s="13"/>
      <c r="O4" s="13"/>
      <c r="P4" s="13">
        <f>100-(60.83-55.62)/55.62*50</f>
        <v>95.31643293779216</v>
      </c>
      <c r="Q4" s="13">
        <f>100-(83.63-83.63)/83.63*50</f>
        <v>100</v>
      </c>
      <c r="R4" s="57">
        <f>SUM(D4:Q4)-E4</f>
        <v>656.3160895140478</v>
      </c>
    </row>
    <row r="5" spans="1:18" ht="14.25">
      <c r="A5" s="87" t="s">
        <v>58</v>
      </c>
      <c r="B5" s="72" t="s">
        <v>123</v>
      </c>
      <c r="C5" s="73" t="s">
        <v>33</v>
      </c>
      <c r="D5" s="11"/>
      <c r="E5" s="11"/>
      <c r="F5" s="3"/>
      <c r="G5" s="2"/>
      <c r="H5" s="2"/>
      <c r="I5" s="2"/>
      <c r="J5" s="13">
        <f>100-(59.3-51.98)/51.98*50</f>
        <v>92.9588303193536</v>
      </c>
      <c r="K5" s="13">
        <f>100-(66.22-54.35)/54.35*50</f>
        <v>89.08003679852806</v>
      </c>
      <c r="L5" s="13">
        <f>100-(77.13-60.62)/60.62*50</f>
        <v>86.38238205212801</v>
      </c>
      <c r="M5" s="13">
        <f>100-(43.75-35.9)/35.9*50</f>
        <v>89.06685236768801</v>
      </c>
      <c r="N5" s="128">
        <f>100-(55.38-35.7)/35.7*50</f>
        <v>72.43697478991596</v>
      </c>
      <c r="O5" s="8">
        <f>100-(122.55-106.92)/106.92*50</f>
        <v>92.69079685746352</v>
      </c>
      <c r="P5" s="13">
        <f>100-(63.98-55.62)/55.62*50</f>
        <v>92.48471772743618</v>
      </c>
      <c r="Q5" s="13">
        <f>100-(90.72-83.63)/83.63*50</f>
        <v>95.76109051775678</v>
      </c>
      <c r="R5" s="57">
        <f>SUM(D5:Q5)-N5</f>
        <v>638.4247066403541</v>
      </c>
    </row>
    <row r="6" spans="1:18" ht="14.25">
      <c r="A6" s="87" t="s">
        <v>59</v>
      </c>
      <c r="B6" s="72" t="s">
        <v>88</v>
      </c>
      <c r="C6" s="73" t="s">
        <v>89</v>
      </c>
      <c r="D6" s="78">
        <f>100-(111.63-67.62)/67.62*50</f>
        <v>67.45785270629992</v>
      </c>
      <c r="E6" s="8">
        <f>100-(104.5-91.15)/91.15*50</f>
        <v>92.67690619857379</v>
      </c>
      <c r="F6" s="3"/>
      <c r="G6" s="11"/>
      <c r="H6" s="2"/>
      <c r="I6" s="2"/>
      <c r="J6" s="8">
        <f>100-(73.05-51.98)/51.98*50</f>
        <v>79.73258945748364</v>
      </c>
      <c r="K6" s="8">
        <f>100-(60.28-54.35)/54.35*50</f>
        <v>94.54461821527138</v>
      </c>
      <c r="L6" s="125">
        <f>100-(104.88-60.62)/60.62*50</f>
        <v>63.49389640382712</v>
      </c>
      <c r="M6" s="13">
        <f>100-(39.68-35.9)/35.9*50</f>
        <v>94.73537604456824</v>
      </c>
      <c r="N6" s="13"/>
      <c r="O6" s="13"/>
      <c r="P6" s="13">
        <f>100-(93.87-55.62)/55.62*50</f>
        <v>65.61488673139158</v>
      </c>
      <c r="Q6" s="13">
        <f>100-(106.63-83.63)/83.63*50</f>
        <v>86.24895372473992</v>
      </c>
      <c r="R6" s="57">
        <f>SUM(D6:Q6)-L6</f>
        <v>581.0111830783286</v>
      </c>
    </row>
    <row r="7" spans="1:18" ht="14.25">
      <c r="A7" s="87" t="s">
        <v>60</v>
      </c>
      <c r="B7" s="72" t="s">
        <v>136</v>
      </c>
      <c r="C7" s="73" t="s">
        <v>146</v>
      </c>
      <c r="D7" s="30"/>
      <c r="E7" s="2"/>
      <c r="F7" s="3"/>
      <c r="G7" s="2"/>
      <c r="H7" s="2"/>
      <c r="I7" s="2"/>
      <c r="J7" s="11"/>
      <c r="K7" s="11"/>
      <c r="L7" s="8"/>
      <c r="M7" s="10" t="s">
        <v>52</v>
      </c>
      <c r="N7" s="8">
        <f>100-(43.85-35.7)/35.7*50</f>
        <v>88.58543417366947</v>
      </c>
      <c r="O7" s="8">
        <f>100-(106.92-106.92)/106.92*50</f>
        <v>100</v>
      </c>
      <c r="P7" s="13">
        <f>100-(56.75-55.62)/55.62*50</f>
        <v>98.9841783531104</v>
      </c>
      <c r="Q7" s="48"/>
      <c r="R7" s="57">
        <f>SUM(D7:Q7)</f>
        <v>287.56961252677985</v>
      </c>
    </row>
    <row r="8" spans="1:18" ht="14.25">
      <c r="A8" s="87" t="s">
        <v>61</v>
      </c>
      <c r="B8" s="72" t="s">
        <v>145</v>
      </c>
      <c r="C8" s="73" t="s">
        <v>146</v>
      </c>
      <c r="D8" s="30"/>
      <c r="E8" s="2"/>
      <c r="F8" s="3"/>
      <c r="G8" s="2"/>
      <c r="H8" s="2"/>
      <c r="I8" s="2"/>
      <c r="J8" s="2"/>
      <c r="K8" s="2"/>
      <c r="L8" s="2"/>
      <c r="M8" s="77"/>
      <c r="N8" s="13">
        <f>100-(48.97-35.7)/35.7*50</f>
        <v>81.41456582633054</v>
      </c>
      <c r="O8" s="13">
        <f>100-(128.02-106.92)/106.92*50</f>
        <v>90.13280957725402</v>
      </c>
      <c r="P8" s="2"/>
      <c r="Q8" s="48"/>
      <c r="R8" s="57">
        <f>SUM(D8:Q8)</f>
        <v>171.54737540358457</v>
      </c>
    </row>
    <row r="9" spans="1:18" ht="14.25">
      <c r="A9" s="87" t="s">
        <v>62</v>
      </c>
      <c r="B9" s="72" t="s">
        <v>171</v>
      </c>
      <c r="C9" s="73" t="s">
        <v>7</v>
      </c>
      <c r="D9" s="30"/>
      <c r="E9" s="8"/>
      <c r="F9" s="7"/>
      <c r="G9" s="7"/>
      <c r="H9" s="8"/>
      <c r="I9" s="8"/>
      <c r="J9" s="8"/>
      <c r="K9" s="8"/>
      <c r="L9" s="8"/>
      <c r="M9" s="8"/>
      <c r="N9" s="13"/>
      <c r="O9" s="13"/>
      <c r="P9" s="8">
        <f>100-(55.62-55.62)/55.62*50</f>
        <v>100</v>
      </c>
      <c r="Q9" s="47"/>
      <c r="R9" s="57">
        <f>SUM(D9:Q9)</f>
        <v>100</v>
      </c>
    </row>
    <row r="10" spans="1:18" ht="14.25">
      <c r="A10" s="87" t="s">
        <v>63</v>
      </c>
      <c r="B10" s="72" t="s">
        <v>96</v>
      </c>
      <c r="C10" s="73" t="s">
        <v>23</v>
      </c>
      <c r="D10" s="30"/>
      <c r="E10" s="2"/>
      <c r="F10" s="3"/>
      <c r="G10" s="8">
        <f>100-(100.47-89.78)/89.78*50</f>
        <v>94.04655825350858</v>
      </c>
      <c r="H10" s="2"/>
      <c r="I10" s="2"/>
      <c r="J10" s="2"/>
      <c r="K10" s="2"/>
      <c r="L10" s="8"/>
      <c r="M10" s="8"/>
      <c r="N10" s="2"/>
      <c r="O10" s="2"/>
      <c r="P10" s="11"/>
      <c r="Q10" s="48"/>
      <c r="R10" s="57">
        <f>SUM(D10:Q10)</f>
        <v>94.04655825350858</v>
      </c>
    </row>
    <row r="11" spans="1:18" ht="14.25">
      <c r="A11" s="87" t="s">
        <v>64</v>
      </c>
      <c r="B11" s="134" t="s">
        <v>172</v>
      </c>
      <c r="C11" s="135" t="s">
        <v>7</v>
      </c>
      <c r="D11" s="136"/>
      <c r="E11" s="120"/>
      <c r="F11" s="138"/>
      <c r="G11" s="120"/>
      <c r="H11" s="120"/>
      <c r="I11" s="120"/>
      <c r="J11" s="120"/>
      <c r="K11" s="120"/>
      <c r="L11" s="120"/>
      <c r="M11" s="139"/>
      <c r="N11" s="120"/>
      <c r="O11" s="120"/>
      <c r="P11" s="13">
        <f>100-(65.43-55.62)/55.62*50</f>
        <v>91.18122977346277</v>
      </c>
      <c r="Q11" s="137"/>
      <c r="R11" s="57">
        <f>SUM(D11:Q11)</f>
        <v>91.18122977346277</v>
      </c>
    </row>
    <row r="12" spans="1:18" ht="15" thickBot="1">
      <c r="A12" s="88" t="s">
        <v>65</v>
      </c>
      <c r="B12" s="74" t="s">
        <v>173</v>
      </c>
      <c r="C12" s="75" t="s">
        <v>35</v>
      </c>
      <c r="D12" s="60"/>
      <c r="E12" s="36"/>
      <c r="F12" s="40"/>
      <c r="G12" s="40"/>
      <c r="H12" s="36"/>
      <c r="I12" s="36"/>
      <c r="J12" s="36"/>
      <c r="K12" s="36"/>
      <c r="L12" s="36"/>
      <c r="M12" s="36"/>
      <c r="N12" s="36"/>
      <c r="O12" s="36"/>
      <c r="P12" s="112">
        <f>100-(76.97-55.62)/55.62*50</f>
        <v>80.80726357425387</v>
      </c>
      <c r="Q12" s="76"/>
      <c r="R12" s="58">
        <f>SUM(D12:Q12)</f>
        <v>80.80726357425387</v>
      </c>
    </row>
    <row r="13" spans="1:18" ht="14.25">
      <c r="A13" s="14"/>
      <c r="B13" s="14"/>
      <c r="C13" s="14"/>
      <c r="D13" s="14"/>
      <c r="E13" s="14"/>
      <c r="F13" s="19"/>
      <c r="G13" s="14"/>
      <c r="H13" s="14"/>
      <c r="I13" s="14"/>
      <c r="J13" s="14"/>
      <c r="K13" s="14"/>
      <c r="L13" s="14"/>
      <c r="M13" s="95"/>
      <c r="N13" s="14"/>
      <c r="O13" s="14"/>
      <c r="P13" s="14"/>
      <c r="Q13" s="14"/>
      <c r="R13" s="18"/>
    </row>
    <row r="14" spans="1:18" ht="14.25">
      <c r="A14" s="14"/>
      <c r="B14" s="14"/>
      <c r="C14" s="14"/>
      <c r="D14" s="14"/>
      <c r="E14" s="14"/>
      <c r="F14" s="19"/>
      <c r="G14" s="14"/>
      <c r="H14" s="14"/>
      <c r="I14" s="14"/>
      <c r="J14" s="14"/>
      <c r="K14" s="14"/>
      <c r="L14" s="14"/>
      <c r="M14" s="14"/>
      <c r="N14" s="15"/>
      <c r="O14" s="15"/>
      <c r="P14" s="14"/>
      <c r="Q14" s="14"/>
      <c r="R14" s="18"/>
    </row>
    <row r="15" spans="1:18" ht="14.25">
      <c r="A15" s="14"/>
      <c r="B15" s="14"/>
      <c r="C15" s="14"/>
      <c r="D15" s="14"/>
      <c r="E15" s="14"/>
      <c r="F15" s="1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="28" customFormat="1" ht="14.25">
      <c r="A16" s="28" t="s">
        <v>43</v>
      </c>
    </row>
    <row r="17" s="27" customFormat="1" ht="14.25">
      <c r="A17" s="27" t="s">
        <v>53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P2" sqref="P2:Q2"/>
    </sheetView>
  </sheetViews>
  <sheetFormatPr defaultColWidth="9.140625" defaultRowHeight="15"/>
  <cols>
    <col min="1" max="1" width="5.140625" style="1" customWidth="1"/>
    <col min="2" max="2" width="25.28125" style="1" customWidth="1"/>
    <col min="3" max="3" width="11.8515625" style="1" customWidth="1"/>
    <col min="4" max="5" width="9.140625" style="1" customWidth="1"/>
    <col min="6" max="6" width="9.140625" style="6" customWidth="1"/>
    <col min="7" max="18" width="9.140625" style="1" customWidth="1"/>
    <col min="19" max="28" width="9.00390625" style="14" customWidth="1"/>
    <col min="29" max="16384" width="9.00390625" style="1" customWidth="1"/>
  </cols>
  <sheetData>
    <row r="1" spans="1:20" ht="28.5" customHeight="1" thickBo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31"/>
      <c r="T1" s="31"/>
    </row>
    <row r="2" spans="1:20" ht="184.5" thickBot="1">
      <c r="A2" s="85" t="s">
        <v>54</v>
      </c>
      <c r="B2" s="42" t="s">
        <v>55</v>
      </c>
      <c r="C2" s="69" t="s">
        <v>0</v>
      </c>
      <c r="D2" s="65" t="s">
        <v>66</v>
      </c>
      <c r="E2" s="44" t="s">
        <v>67</v>
      </c>
      <c r="F2" s="65" t="s">
        <v>94</v>
      </c>
      <c r="G2" s="65" t="s">
        <v>95</v>
      </c>
      <c r="H2" s="65" t="s">
        <v>119</v>
      </c>
      <c r="I2" s="65" t="s">
        <v>120</v>
      </c>
      <c r="J2" s="65" t="s">
        <v>121</v>
      </c>
      <c r="K2" s="65" t="s">
        <v>122</v>
      </c>
      <c r="L2" s="44" t="s">
        <v>125</v>
      </c>
      <c r="M2" s="44" t="s">
        <v>124</v>
      </c>
      <c r="N2" s="44" t="s">
        <v>142</v>
      </c>
      <c r="O2" s="44" t="s">
        <v>143</v>
      </c>
      <c r="P2" s="44" t="s">
        <v>159</v>
      </c>
      <c r="Q2" s="44" t="s">
        <v>158</v>
      </c>
      <c r="R2" s="55" t="s">
        <v>1</v>
      </c>
      <c r="S2" s="29"/>
      <c r="T2" s="29"/>
    </row>
    <row r="3" spans="1:18" ht="14.25">
      <c r="A3" s="86" t="s">
        <v>56</v>
      </c>
      <c r="B3" s="98" t="s">
        <v>32</v>
      </c>
      <c r="C3" s="99" t="s">
        <v>23</v>
      </c>
      <c r="D3" s="59"/>
      <c r="E3" s="13">
        <f>100-(116.8-116.8)/116.8*50</f>
        <v>100</v>
      </c>
      <c r="F3" s="13">
        <f>100-(64.7-58.88)/58.88*50</f>
        <v>95.05774456521739</v>
      </c>
      <c r="G3" s="13">
        <f>100-(127.67-103.5)/103.5*50</f>
        <v>88.32367149758454</v>
      </c>
      <c r="H3" s="13"/>
      <c r="I3" s="13"/>
      <c r="J3" s="13">
        <f>100-(66.1-43.5)/43.5*50</f>
        <v>74.02298850574714</v>
      </c>
      <c r="K3" s="13">
        <f>100-(77.67-57.13)/57.13*50</f>
        <v>82.02345527743742</v>
      </c>
      <c r="L3" s="13"/>
      <c r="M3" s="46"/>
      <c r="N3" s="8">
        <f>100-(34.9-23.58)/23.58*50</f>
        <v>75.99660729431722</v>
      </c>
      <c r="O3" s="8">
        <f>100-(81.65-69.07)/69.07*50</f>
        <v>90.8932966555668</v>
      </c>
      <c r="P3" s="13"/>
      <c r="Q3" s="52"/>
      <c r="R3" s="56">
        <f aca="true" t="shared" si="0" ref="R3:R14">SUM(D3:Q3)</f>
        <v>606.3177637958705</v>
      </c>
    </row>
    <row r="4" spans="1:18" ht="14.25">
      <c r="A4" s="87" t="s">
        <v>57</v>
      </c>
      <c r="B4" s="72" t="s">
        <v>108</v>
      </c>
      <c r="C4" s="73" t="s">
        <v>2</v>
      </c>
      <c r="D4" s="30"/>
      <c r="E4" s="11"/>
      <c r="F4" s="13">
        <f>100-(58.88-58.88)/58.88*50</f>
        <v>100</v>
      </c>
      <c r="G4" s="13">
        <f>100-(103.5-103.5)/103.5*50</f>
        <v>100</v>
      </c>
      <c r="H4" s="2"/>
      <c r="I4" s="2"/>
      <c r="J4" s="2"/>
      <c r="K4" s="2"/>
      <c r="L4" s="8"/>
      <c r="M4" s="8"/>
      <c r="N4" s="8">
        <f>100-(23.58-23.58)/23.58*50</f>
        <v>100</v>
      </c>
      <c r="O4" s="8">
        <f>100-(69.07-69.07)/69.07*50</f>
        <v>100</v>
      </c>
      <c r="P4" s="2"/>
      <c r="Q4" s="48"/>
      <c r="R4" s="57">
        <f t="shared" si="0"/>
        <v>400</v>
      </c>
    </row>
    <row r="5" spans="1:18" ht="14.25">
      <c r="A5" s="87" t="s">
        <v>58</v>
      </c>
      <c r="B5" s="72" t="s">
        <v>45</v>
      </c>
      <c r="C5" s="73" t="s">
        <v>35</v>
      </c>
      <c r="D5" s="59"/>
      <c r="E5" s="13">
        <f>100-(126.35-116.8)/116.8*50</f>
        <v>95.91181506849315</v>
      </c>
      <c r="F5" s="8">
        <f>100-(75.02-58.88)/58.88*50</f>
        <v>86.29415760869566</v>
      </c>
      <c r="G5" s="8">
        <f>100-(154.58-103.5)/103.5*50</f>
        <v>75.32367149758454</v>
      </c>
      <c r="H5" s="2"/>
      <c r="I5" s="2"/>
      <c r="J5" s="2"/>
      <c r="K5" s="2"/>
      <c r="L5" s="2"/>
      <c r="M5" s="8"/>
      <c r="N5" s="8">
        <f>100-(39.63-23.58)/23.58*50</f>
        <v>65.96692111959285</v>
      </c>
      <c r="O5" s="8"/>
      <c r="P5" s="2"/>
      <c r="Q5" s="48"/>
      <c r="R5" s="57">
        <f t="shared" si="0"/>
        <v>323.4965652943662</v>
      </c>
    </row>
    <row r="6" spans="1:18" ht="14.25">
      <c r="A6" s="87" t="s">
        <v>59</v>
      </c>
      <c r="B6" s="72" t="s">
        <v>153</v>
      </c>
      <c r="C6" s="73" t="s">
        <v>2</v>
      </c>
      <c r="D6" s="30"/>
      <c r="E6" s="2"/>
      <c r="F6" s="12"/>
      <c r="G6" s="11"/>
      <c r="H6" s="2"/>
      <c r="I6" s="2"/>
      <c r="J6" s="2"/>
      <c r="K6" s="2"/>
      <c r="L6" s="2"/>
      <c r="M6" s="10"/>
      <c r="N6" s="8">
        <f>100-(27.58-23.58)/23.58*50</f>
        <v>91.51823579304495</v>
      </c>
      <c r="O6" s="8">
        <f>100-(78.15-69.07)/69.07*50</f>
        <v>93.42695815839002</v>
      </c>
      <c r="P6" s="2"/>
      <c r="Q6" s="48"/>
      <c r="R6" s="57">
        <f t="shared" si="0"/>
        <v>184.945193951435</v>
      </c>
    </row>
    <row r="7" spans="1:18" ht="14.25">
      <c r="A7" s="87" t="s">
        <v>60</v>
      </c>
      <c r="B7" s="72" t="s">
        <v>109</v>
      </c>
      <c r="C7" s="73" t="s">
        <v>35</v>
      </c>
      <c r="D7" s="30"/>
      <c r="E7" s="2"/>
      <c r="F7" s="13">
        <f>100-(77.45-58.88)/58.88*50</f>
        <v>84.23063858695652</v>
      </c>
      <c r="G7" s="13">
        <f>100-(122.87-103.5)/103.5*50</f>
        <v>90.64251207729468</v>
      </c>
      <c r="H7" s="2"/>
      <c r="I7" s="2"/>
      <c r="J7" s="2"/>
      <c r="K7" s="2"/>
      <c r="L7" s="2"/>
      <c r="M7" s="2"/>
      <c r="N7" s="8"/>
      <c r="O7" s="8"/>
      <c r="P7" s="2"/>
      <c r="Q7" s="48"/>
      <c r="R7" s="57">
        <f t="shared" si="0"/>
        <v>174.8731506642512</v>
      </c>
    </row>
    <row r="8" spans="1:18" ht="14.25">
      <c r="A8" s="87" t="s">
        <v>61</v>
      </c>
      <c r="B8" s="72" t="s">
        <v>110</v>
      </c>
      <c r="C8" s="73" t="s">
        <v>111</v>
      </c>
      <c r="D8" s="30"/>
      <c r="E8" s="2"/>
      <c r="F8" s="13">
        <f>100-(85.78-58.88)/58.88*50</f>
        <v>77.1569293478261</v>
      </c>
      <c r="G8" s="13">
        <f>100-(122.33-103.5)/103.5*50</f>
        <v>90.90338164251207</v>
      </c>
      <c r="H8" s="2"/>
      <c r="I8" s="2"/>
      <c r="J8" s="2"/>
      <c r="K8" s="2"/>
      <c r="L8" s="8"/>
      <c r="M8" s="2"/>
      <c r="N8" s="2"/>
      <c r="O8" s="2"/>
      <c r="P8" s="2"/>
      <c r="Q8" s="48"/>
      <c r="R8" s="57">
        <f t="shared" si="0"/>
        <v>168.06031099033817</v>
      </c>
    </row>
    <row r="9" spans="1:18" ht="14.25">
      <c r="A9" s="87" t="s">
        <v>62</v>
      </c>
      <c r="B9" s="72" t="s">
        <v>154</v>
      </c>
      <c r="C9" s="73" t="s">
        <v>35</v>
      </c>
      <c r="D9" s="30"/>
      <c r="E9" s="8"/>
      <c r="F9" s="7"/>
      <c r="G9" s="41"/>
      <c r="H9" s="8"/>
      <c r="I9" s="8"/>
      <c r="J9" s="8"/>
      <c r="K9" s="8"/>
      <c r="L9" s="8"/>
      <c r="M9" s="8"/>
      <c r="N9" s="8">
        <f>100-(32.6-23.58)/23.58*50</f>
        <v>80.87362171331637</v>
      </c>
      <c r="O9" s="8">
        <f>100-(89.73-69.07)/69.07*50</f>
        <v>85.04415810047777</v>
      </c>
      <c r="P9" s="8"/>
      <c r="Q9" s="47"/>
      <c r="R9" s="57">
        <f t="shared" si="0"/>
        <v>165.91777981379414</v>
      </c>
    </row>
    <row r="10" spans="1:18" ht="14.25">
      <c r="A10" s="87" t="s">
        <v>63</v>
      </c>
      <c r="B10" s="72" t="s">
        <v>155</v>
      </c>
      <c r="C10" s="73" t="s">
        <v>23</v>
      </c>
      <c r="D10" s="30"/>
      <c r="E10" s="8"/>
      <c r="F10" s="7"/>
      <c r="G10" s="41"/>
      <c r="H10" s="8"/>
      <c r="I10" s="8"/>
      <c r="J10" s="8"/>
      <c r="K10" s="13"/>
      <c r="L10" s="8"/>
      <c r="M10" s="8"/>
      <c r="N10" s="8">
        <f>100-(39.92-23.58)/23.58*50</f>
        <v>65.35199321458862</v>
      </c>
      <c r="O10" s="8">
        <f>100-(79.43-69.07)/69.07*50</f>
        <v>92.50036195164324</v>
      </c>
      <c r="P10" s="8"/>
      <c r="Q10" s="47"/>
      <c r="R10" s="57">
        <f t="shared" si="0"/>
        <v>157.85235516623186</v>
      </c>
    </row>
    <row r="11" spans="1:18" ht="14.25">
      <c r="A11" s="87" t="s">
        <v>64</v>
      </c>
      <c r="B11" s="72" t="s">
        <v>112</v>
      </c>
      <c r="C11" s="73" t="s">
        <v>11</v>
      </c>
      <c r="D11" s="30"/>
      <c r="E11" s="2"/>
      <c r="F11" s="3"/>
      <c r="G11" s="13">
        <f>100-(119.83-103.5)/103.5*50</f>
        <v>92.11111111111111</v>
      </c>
      <c r="H11" s="2"/>
      <c r="I11" s="2"/>
      <c r="J11" s="2"/>
      <c r="K11" s="11"/>
      <c r="L11" s="2"/>
      <c r="M11" s="8"/>
      <c r="N11" s="2"/>
      <c r="O11" s="2"/>
      <c r="P11" s="2"/>
      <c r="Q11" s="48"/>
      <c r="R11" s="57">
        <f t="shared" si="0"/>
        <v>92.11111111111111</v>
      </c>
    </row>
    <row r="12" spans="1:18" ht="14.25">
      <c r="A12" s="87" t="s">
        <v>65</v>
      </c>
      <c r="B12" s="72" t="s">
        <v>50</v>
      </c>
      <c r="C12" s="73" t="s">
        <v>7</v>
      </c>
      <c r="D12" s="30"/>
      <c r="E12" s="8"/>
      <c r="F12" s="7"/>
      <c r="G12" s="41"/>
      <c r="H12" s="8"/>
      <c r="I12" s="8"/>
      <c r="J12" s="8"/>
      <c r="K12" s="13">
        <f>100-(82.47-57.13)/57.13*50</f>
        <v>77.82251006476457</v>
      </c>
      <c r="L12" s="8"/>
      <c r="M12" s="8"/>
      <c r="N12" s="8"/>
      <c r="O12" s="8"/>
      <c r="P12" s="8"/>
      <c r="Q12" s="47"/>
      <c r="R12" s="57">
        <f t="shared" si="0"/>
        <v>77.82251006476457</v>
      </c>
    </row>
    <row r="13" spans="1:18" ht="14.25">
      <c r="A13" s="87" t="s">
        <v>81</v>
      </c>
      <c r="B13" s="72" t="s">
        <v>79</v>
      </c>
      <c r="C13" s="73" t="s">
        <v>4</v>
      </c>
      <c r="D13" s="113" t="s">
        <v>52</v>
      </c>
      <c r="E13" s="8">
        <f>100-(177.27-116.8)/116.8*50</f>
        <v>74.11386986301369</v>
      </c>
      <c r="F13" s="3"/>
      <c r="G13" s="2"/>
      <c r="H13" s="2"/>
      <c r="I13" s="2"/>
      <c r="J13" s="2"/>
      <c r="K13" s="11"/>
      <c r="L13" s="2"/>
      <c r="M13" s="2"/>
      <c r="N13" s="8"/>
      <c r="O13" s="8"/>
      <c r="P13" s="2"/>
      <c r="Q13" s="48"/>
      <c r="R13" s="57">
        <f t="shared" si="0"/>
        <v>74.11386986301369</v>
      </c>
    </row>
    <row r="14" spans="1:18" ht="15" thickBot="1">
      <c r="A14" s="88" t="s">
        <v>114</v>
      </c>
      <c r="B14" s="74" t="s">
        <v>156</v>
      </c>
      <c r="C14" s="75" t="s">
        <v>2</v>
      </c>
      <c r="D14" s="60"/>
      <c r="E14" s="36"/>
      <c r="F14" s="40"/>
      <c r="G14" s="40"/>
      <c r="H14" s="36"/>
      <c r="I14" s="36"/>
      <c r="J14" s="36"/>
      <c r="K14" s="36"/>
      <c r="L14" s="36"/>
      <c r="M14" s="36"/>
      <c r="N14" s="36">
        <f>100-(40.17-23.58)/23.58*50</f>
        <v>64.82188295165393</v>
      </c>
      <c r="O14" s="36"/>
      <c r="P14" s="36"/>
      <c r="Q14" s="76"/>
      <c r="R14" s="58">
        <f t="shared" si="0"/>
        <v>64.82188295165393</v>
      </c>
    </row>
    <row r="15" spans="1:18" ht="14.25">
      <c r="A15" s="14"/>
      <c r="B15" s="14"/>
      <c r="C15" s="14"/>
      <c r="D15" s="14"/>
      <c r="E15" s="14"/>
      <c r="F15" s="19"/>
      <c r="G15" s="14"/>
      <c r="H15" s="14"/>
      <c r="I15" s="14"/>
      <c r="J15" s="14"/>
      <c r="K15" s="14"/>
      <c r="L15" s="14"/>
      <c r="M15" s="95"/>
      <c r="N15" s="14"/>
      <c r="O15" s="14"/>
      <c r="P15" s="14"/>
      <c r="Q15" s="14"/>
      <c r="R15" s="18"/>
    </row>
    <row r="16" spans="1:18" ht="14.25">
      <c r="A16" s="14"/>
      <c r="B16" s="14"/>
      <c r="C16" s="14"/>
      <c r="D16" s="14"/>
      <c r="E16" s="14"/>
      <c r="F16" s="19"/>
      <c r="G16" s="14"/>
      <c r="H16" s="14"/>
      <c r="I16" s="14"/>
      <c r="J16" s="14"/>
      <c r="K16" s="14"/>
      <c r="L16" s="14"/>
      <c r="M16" s="14"/>
      <c r="N16" s="15"/>
      <c r="O16" s="15"/>
      <c r="P16" s="14"/>
      <c r="Q16" s="14"/>
      <c r="R16" s="18"/>
    </row>
    <row r="17" spans="1:18" ht="14.25">
      <c r="A17" s="14"/>
      <c r="B17" s="14"/>
      <c r="C17" s="14"/>
      <c r="D17" s="14"/>
      <c r="E17" s="14"/>
      <c r="F17" s="1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="28" customFormat="1" ht="14.25">
      <c r="A18" s="28" t="s">
        <v>43</v>
      </c>
    </row>
    <row r="19" s="27" customFormat="1" ht="14.25">
      <c r="A19" s="27" t="s">
        <v>53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T9" sqref="T9"/>
    </sheetView>
  </sheetViews>
  <sheetFormatPr defaultColWidth="9.140625" defaultRowHeight="15"/>
  <cols>
    <col min="1" max="1" width="4.8515625" style="1" customWidth="1"/>
    <col min="2" max="2" width="17.8515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1" width="9.00390625" style="14" customWidth="1"/>
    <col min="22" max="16384" width="9.00390625" style="1" customWidth="1"/>
  </cols>
  <sheetData>
    <row r="1" spans="1:20" ht="31.5" customHeight="1" thickBo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31"/>
      <c r="T1" s="31"/>
    </row>
    <row r="2" spans="1:20" ht="184.5" thickBot="1">
      <c r="A2" s="85" t="s">
        <v>54</v>
      </c>
      <c r="B2" s="42" t="s">
        <v>55</v>
      </c>
      <c r="C2" s="69" t="s">
        <v>0</v>
      </c>
      <c r="D2" s="65" t="s">
        <v>66</v>
      </c>
      <c r="E2" s="44" t="s">
        <v>67</v>
      </c>
      <c r="F2" s="65" t="s">
        <v>94</v>
      </c>
      <c r="G2" s="65" t="s">
        <v>95</v>
      </c>
      <c r="H2" s="65" t="s">
        <v>119</v>
      </c>
      <c r="I2" s="65" t="s">
        <v>120</v>
      </c>
      <c r="J2" s="65" t="s">
        <v>121</v>
      </c>
      <c r="K2" s="65" t="s">
        <v>122</v>
      </c>
      <c r="L2" s="44" t="s">
        <v>125</v>
      </c>
      <c r="M2" s="44" t="s">
        <v>124</v>
      </c>
      <c r="N2" s="44" t="s">
        <v>142</v>
      </c>
      <c r="O2" s="44" t="s">
        <v>143</v>
      </c>
      <c r="P2" s="44" t="s">
        <v>159</v>
      </c>
      <c r="Q2" s="44" t="s">
        <v>158</v>
      </c>
      <c r="R2" s="55" t="s">
        <v>1</v>
      </c>
      <c r="S2" s="29"/>
      <c r="T2" s="29"/>
    </row>
    <row r="3" spans="1:18" ht="14.25">
      <c r="A3" s="114" t="s">
        <v>56</v>
      </c>
      <c r="B3" s="59" t="s">
        <v>102</v>
      </c>
      <c r="C3" s="71" t="s">
        <v>2</v>
      </c>
      <c r="D3" s="77"/>
      <c r="E3" s="13"/>
      <c r="F3" s="13">
        <f>100-(48.72-48.72)/48.72*50</f>
        <v>100</v>
      </c>
      <c r="G3" s="13">
        <f>100-(104.03-104.03)/104.03*50</f>
        <v>100</v>
      </c>
      <c r="H3" s="13">
        <f>100-(36.13-36.13)/36.13*50</f>
        <v>100</v>
      </c>
      <c r="I3" s="13">
        <f>100-(84.93-83.03)/83.03*50</f>
        <v>98.8558352402746</v>
      </c>
      <c r="J3" s="13"/>
      <c r="K3" s="13"/>
      <c r="L3" s="13"/>
      <c r="M3" s="8"/>
      <c r="N3" s="13">
        <f>100-(31.67-31.67)/31.67*50</f>
        <v>100</v>
      </c>
      <c r="O3" s="13">
        <f>100-(104.72-103.73)/103.73*50</f>
        <v>99.52279957582185</v>
      </c>
      <c r="P3" s="8">
        <f>100-(57.1-57.1)/57.1*50</f>
        <v>100</v>
      </c>
      <c r="Q3" s="8"/>
      <c r="R3" s="57">
        <f>SUM(D3:Q3)</f>
        <v>698.3786348160965</v>
      </c>
    </row>
    <row r="4" spans="1:18" ht="14.25">
      <c r="A4" s="63" t="s">
        <v>57</v>
      </c>
      <c r="B4" s="30" t="s">
        <v>15</v>
      </c>
      <c r="C4" s="73" t="s">
        <v>18</v>
      </c>
      <c r="D4" s="77">
        <f>100-(82.28-71.18)/71.18*50</f>
        <v>92.20286597358809</v>
      </c>
      <c r="E4" s="8">
        <f>100-(127.08-116.68)/116.68*50</f>
        <v>95.54336647240316</v>
      </c>
      <c r="F4" s="8">
        <f>100-(49.07-48.72)/48.72*50</f>
        <v>99.64080459770115</v>
      </c>
      <c r="G4" s="128">
        <f>100-(123.12-104.03)/104.03*50</f>
        <v>90.82476208785927</v>
      </c>
      <c r="H4" s="8"/>
      <c r="I4" s="8"/>
      <c r="J4" s="128">
        <f>100-(64.73-53.68)/53.68*50</f>
        <v>89.7075260804769</v>
      </c>
      <c r="K4" s="8">
        <f>100-(99.02-84.57)/84.57*50</f>
        <v>91.45678136455007</v>
      </c>
      <c r="L4" s="8"/>
      <c r="M4" s="8">
        <f>100-(34.48-34.03)/34.03*50</f>
        <v>99.33881868939172</v>
      </c>
      <c r="N4" s="8"/>
      <c r="O4" s="8"/>
      <c r="P4" s="8">
        <f>100-(61.88-57.1)/57.1*50</f>
        <v>95.81436077057793</v>
      </c>
      <c r="Q4" s="47">
        <f>100-(65.08-65.08)/65.08*50</f>
        <v>100</v>
      </c>
      <c r="R4" s="57">
        <f>SUM(D4:Q4)-G4-J4</f>
        <v>673.996997868212</v>
      </c>
    </row>
    <row r="5" spans="1:18" ht="14.25">
      <c r="A5" s="63" t="s">
        <v>58</v>
      </c>
      <c r="B5" s="30" t="s">
        <v>26</v>
      </c>
      <c r="C5" s="73" t="s">
        <v>30</v>
      </c>
      <c r="D5" s="77">
        <f>100-(98.1-71.18)/71.18*50</f>
        <v>81.0901938746839</v>
      </c>
      <c r="E5" s="77">
        <f>100-(142.9-116.68)/116.68*50</f>
        <v>88.76414124100103</v>
      </c>
      <c r="F5" s="8">
        <f>100-(77.03-48.72)/48.72*50</f>
        <v>70.94622331691298</v>
      </c>
      <c r="G5" s="8">
        <f>100-(128.75-104.03)/104.03*50</f>
        <v>88.11881188118812</v>
      </c>
      <c r="H5" s="8"/>
      <c r="I5" s="8"/>
      <c r="J5" s="8"/>
      <c r="K5" s="8"/>
      <c r="L5" s="8">
        <f>100-(90.43-90.43)/90.43*50</f>
        <v>100</v>
      </c>
      <c r="M5" s="8">
        <f>100-(36.6-34.03)/34.03*50</f>
        <v>96.223920070526</v>
      </c>
      <c r="N5" s="8"/>
      <c r="O5" s="8"/>
      <c r="P5" s="8"/>
      <c r="Q5" s="8">
        <f>100-(65.08-65.08)/65.08*50</f>
        <v>100</v>
      </c>
      <c r="R5" s="57">
        <f>SUM(D5:Q5)</f>
        <v>625.1432903843121</v>
      </c>
    </row>
    <row r="6" spans="1:18" ht="14.25">
      <c r="A6" s="63" t="s">
        <v>59</v>
      </c>
      <c r="B6" s="30" t="s">
        <v>12</v>
      </c>
      <c r="C6" s="73" t="s">
        <v>30</v>
      </c>
      <c r="D6" s="77">
        <f>100-(71.18-71.18)/71.18*50</f>
        <v>100</v>
      </c>
      <c r="E6" s="77"/>
      <c r="F6" s="8">
        <f>100-(52.13-48.72)/48.72*50</f>
        <v>96.5004105090312</v>
      </c>
      <c r="G6" s="8">
        <f>100-(116.13-104.03)/104.03*50</f>
        <v>94.18436989330002</v>
      </c>
      <c r="H6" s="8"/>
      <c r="I6" s="8"/>
      <c r="J6" s="8"/>
      <c r="K6" s="8"/>
      <c r="L6" s="8"/>
      <c r="M6" s="8"/>
      <c r="N6" s="8">
        <f>100-(39.1-31.67)/31.67*50</f>
        <v>88.26965582570256</v>
      </c>
      <c r="O6" s="8">
        <f>100-(103.73-103.73)/103.73*50</f>
        <v>100</v>
      </c>
      <c r="P6" s="7"/>
      <c r="Q6" s="47"/>
      <c r="R6" s="57">
        <f>SUM(D6:Q6)</f>
        <v>478.9544362280338</v>
      </c>
    </row>
    <row r="7" spans="1:18" ht="14.25">
      <c r="A7" s="63" t="s">
        <v>60</v>
      </c>
      <c r="B7" s="30" t="s">
        <v>70</v>
      </c>
      <c r="C7" s="71" t="s">
        <v>9</v>
      </c>
      <c r="D7" s="77">
        <f>100-(100.65-71.18)/71.18*50</f>
        <v>79.29896038212982</v>
      </c>
      <c r="E7" s="77">
        <f>100-(164-116.68)/116.68*50</f>
        <v>79.72231744943436</v>
      </c>
      <c r="F7" s="8">
        <f>100-(78.8-48.72)/48.72*50</f>
        <v>69.12972085385879</v>
      </c>
      <c r="G7" s="8">
        <f>100-(176.1-104.03)/104.03*50</f>
        <v>65.36095357108528</v>
      </c>
      <c r="H7" s="8"/>
      <c r="I7" s="7"/>
      <c r="J7" s="8"/>
      <c r="K7" s="8"/>
      <c r="L7" s="8">
        <f>100-(119.6-90.43)/90.43*50</f>
        <v>83.87150281986067</v>
      </c>
      <c r="M7" s="8">
        <f>100-(47.73-34.03)/34.03*50</f>
        <v>79.87070232148105</v>
      </c>
      <c r="N7" s="8"/>
      <c r="O7" s="8"/>
      <c r="P7" s="8"/>
      <c r="Q7" s="47"/>
      <c r="R7" s="57">
        <f>SUM(D7:Q7)</f>
        <v>457.25415739785</v>
      </c>
    </row>
    <row r="8" spans="1:18" ht="14.25">
      <c r="A8" s="63" t="s">
        <v>61</v>
      </c>
      <c r="B8" s="30" t="s">
        <v>127</v>
      </c>
      <c r="C8" s="73" t="s">
        <v>128</v>
      </c>
      <c r="D8" s="59"/>
      <c r="E8" s="59"/>
      <c r="F8" s="3"/>
      <c r="G8" s="2"/>
      <c r="H8" s="2"/>
      <c r="I8" s="2"/>
      <c r="J8" s="2"/>
      <c r="K8" s="2"/>
      <c r="L8" s="8">
        <f>100-(93.72-90.43)/90.43*50</f>
        <v>98.18091341369015</v>
      </c>
      <c r="M8" s="8">
        <f>100-(44.23-34.03)/34.03*50</f>
        <v>85.01322362621217</v>
      </c>
      <c r="N8" s="8">
        <f>100-(40.82-31.67)/31.67*50</f>
        <v>85.55415219450585</v>
      </c>
      <c r="O8" s="2"/>
      <c r="P8" s="8">
        <f>100-(78.87-57.1)/57.1*50</f>
        <v>80.9369527145359</v>
      </c>
      <c r="Q8" s="47">
        <f>100-(81.53-65.08)/65.08*50</f>
        <v>87.36170866625692</v>
      </c>
      <c r="R8" s="57">
        <f>SUM(D8:Q8)</f>
        <v>437.04695061520096</v>
      </c>
    </row>
    <row r="9" spans="1:18" ht="14.25">
      <c r="A9" s="63" t="s">
        <v>62</v>
      </c>
      <c r="B9" s="30" t="s">
        <v>36</v>
      </c>
      <c r="C9" s="73" t="s">
        <v>7</v>
      </c>
      <c r="D9" s="77">
        <f>100-(71.72-71.18)/71.18*50</f>
        <v>99.62067996628267</v>
      </c>
      <c r="E9" s="13"/>
      <c r="F9" s="7"/>
      <c r="G9" s="8"/>
      <c r="H9" s="10"/>
      <c r="I9" s="8"/>
      <c r="J9" s="8"/>
      <c r="K9" s="8"/>
      <c r="L9" s="8"/>
      <c r="M9" s="8"/>
      <c r="N9" s="8">
        <f>100-(34.73-31.67)/31.67*50</f>
        <v>95.16892958635934</v>
      </c>
      <c r="O9" s="8">
        <f>100-(117.4-103.73)/103.73*50</f>
        <v>93.4107779812976</v>
      </c>
      <c r="P9" s="8">
        <f>100-(61.43-57.1)/57.1*50</f>
        <v>96.20840630472854</v>
      </c>
      <c r="Q9" s="47"/>
      <c r="R9" s="57">
        <f>SUM(D9:Q9)</f>
        <v>384.40879383866815</v>
      </c>
    </row>
    <row r="10" spans="1:18" ht="14.25">
      <c r="A10" s="63" t="s">
        <v>63</v>
      </c>
      <c r="B10" s="30" t="s">
        <v>80</v>
      </c>
      <c r="C10" s="73" t="s">
        <v>18</v>
      </c>
      <c r="D10" s="77"/>
      <c r="E10" s="77">
        <f>100-(139.98-116.68)/116.68*50</f>
        <v>90.01542680836477</v>
      </c>
      <c r="F10" s="8">
        <f>100-(56.27-48.72)/48.72*50</f>
        <v>92.25164203612479</v>
      </c>
      <c r="G10" s="8">
        <f>100-(124.1-104.03)/104.03*50</f>
        <v>90.35374411227531</v>
      </c>
      <c r="H10" s="8"/>
      <c r="I10" s="8"/>
      <c r="J10" s="8"/>
      <c r="K10" s="8"/>
      <c r="L10" s="8"/>
      <c r="M10" s="8"/>
      <c r="N10" s="8"/>
      <c r="O10" s="8"/>
      <c r="P10" s="8"/>
      <c r="Q10" s="47">
        <f>100-(90.42-65.08)/65.08*50</f>
        <v>80.53165334972341</v>
      </c>
      <c r="R10" s="57">
        <f>SUM(D10:Q10)</f>
        <v>353.1524663064883</v>
      </c>
    </row>
    <row r="11" spans="1:18" ht="14.25">
      <c r="A11" s="63" t="s">
        <v>64</v>
      </c>
      <c r="B11" s="30" t="s">
        <v>71</v>
      </c>
      <c r="C11" s="73" t="s">
        <v>4</v>
      </c>
      <c r="D11" s="78">
        <f>100-(107.53-71.18)/71.18*50</f>
        <v>74.46614217476821</v>
      </c>
      <c r="E11" s="106" t="s">
        <v>52</v>
      </c>
      <c r="F11" s="7"/>
      <c r="G11" s="8"/>
      <c r="H11" s="8"/>
      <c r="I11" s="8"/>
      <c r="J11" s="8"/>
      <c r="K11" s="13"/>
      <c r="L11" s="8"/>
      <c r="M11" s="8">
        <f>100-(42.05-34.03)/34.03*50</f>
        <v>88.21627975315899</v>
      </c>
      <c r="N11" s="8">
        <f>100-(40.67-31.67)/31.67*50</f>
        <v>85.79096937164509</v>
      </c>
      <c r="O11" s="8">
        <f>100-(164.63-103.73)/103.73*50</f>
        <v>70.64494360358624</v>
      </c>
      <c r="P11" s="8"/>
      <c r="Q11" s="8"/>
      <c r="R11" s="57">
        <f>SUM(D11:Q11)</f>
        <v>319.1183349031585</v>
      </c>
    </row>
    <row r="12" spans="1:21" ht="14.25">
      <c r="A12" s="63" t="s">
        <v>65</v>
      </c>
      <c r="B12" s="30" t="s">
        <v>31</v>
      </c>
      <c r="C12" s="73" t="s">
        <v>23</v>
      </c>
      <c r="D12" s="30"/>
      <c r="E12" s="77">
        <f>100-(182-116.68)/116.68*50</f>
        <v>72.00891326705519</v>
      </c>
      <c r="F12" s="3"/>
      <c r="G12" s="2"/>
      <c r="H12" s="2"/>
      <c r="I12" s="2"/>
      <c r="J12" s="8">
        <f>100-(128.65-53.68)/53.68*50</f>
        <v>30.169523099850977</v>
      </c>
      <c r="K12" s="8">
        <f>100-(150.28-84.57)/84.57*50</f>
        <v>61.15052619132079</v>
      </c>
      <c r="L12" s="2"/>
      <c r="M12" s="2"/>
      <c r="N12" s="8">
        <f>100-(49.82-31.67)/31.67*50</f>
        <v>71.34512156615094</v>
      </c>
      <c r="O12" s="8">
        <f>100-(171.27-103.73)/103.73*50</f>
        <v>67.44432661717921</v>
      </c>
      <c r="P12" s="2"/>
      <c r="Q12" s="2"/>
      <c r="R12" s="57">
        <f>SUM(D12:Q12)</f>
        <v>302.1184107415571</v>
      </c>
      <c r="U12" s="18"/>
    </row>
    <row r="13" spans="1:18" ht="14.25">
      <c r="A13" s="63" t="s">
        <v>81</v>
      </c>
      <c r="B13" s="30" t="s">
        <v>103</v>
      </c>
      <c r="C13" s="73" t="s">
        <v>35</v>
      </c>
      <c r="D13" s="30"/>
      <c r="E13" s="2"/>
      <c r="F13" s="8">
        <f>100-(68.87-48.72)/48.72*50</f>
        <v>79.32060755336617</v>
      </c>
      <c r="G13" s="2"/>
      <c r="H13" s="2"/>
      <c r="I13" s="2"/>
      <c r="J13" s="2"/>
      <c r="K13" s="2"/>
      <c r="L13" s="8">
        <f>100-(90.5-90.43)/90.43*50</f>
        <v>99.96129603007851</v>
      </c>
      <c r="M13" s="8"/>
      <c r="N13" s="2"/>
      <c r="O13" s="2"/>
      <c r="P13" s="8">
        <f>100-(76.75-57.1)/57.1*50</f>
        <v>82.79334500875657</v>
      </c>
      <c r="Q13" s="53" t="s">
        <v>52</v>
      </c>
      <c r="R13" s="57">
        <f>SUM(D13:Q13)</f>
        <v>262.07524859220126</v>
      </c>
    </row>
    <row r="14" spans="1:18" ht="14.25">
      <c r="A14" s="63" t="s">
        <v>114</v>
      </c>
      <c r="B14" s="30" t="s">
        <v>107</v>
      </c>
      <c r="C14" s="73" t="s">
        <v>11</v>
      </c>
      <c r="D14" s="78"/>
      <c r="E14" s="8"/>
      <c r="F14" s="7"/>
      <c r="G14" s="8">
        <f>100-(140.32-104.03)/104.03*50</f>
        <v>82.55791598577333</v>
      </c>
      <c r="H14" s="8"/>
      <c r="I14" s="8"/>
      <c r="J14" s="8"/>
      <c r="K14" s="8"/>
      <c r="L14" s="8">
        <f>100-(114.27-90.43)/90.43*50</f>
        <v>86.81853367245384</v>
      </c>
      <c r="M14" s="8">
        <f>100-(39.37-34.03)/34.03*50</f>
        <v>92.15398178078166</v>
      </c>
      <c r="N14" s="8"/>
      <c r="O14" s="8"/>
      <c r="P14" s="8"/>
      <c r="Q14" s="47"/>
      <c r="R14" s="57">
        <f>SUM(D14:Q14)</f>
        <v>261.5304314390088</v>
      </c>
    </row>
    <row r="15" spans="1:18" ht="14.25">
      <c r="A15" s="63" t="s">
        <v>115</v>
      </c>
      <c r="B15" s="30" t="s">
        <v>28</v>
      </c>
      <c r="C15" s="73" t="s">
        <v>27</v>
      </c>
      <c r="D15" s="78">
        <f>100-(76.25-71.18)/71.18*50</f>
        <v>96.43860635009835</v>
      </c>
      <c r="E15" s="8">
        <f>100-(116.68-116.68)/116.68*50</f>
        <v>100</v>
      </c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47"/>
      <c r="R15" s="57">
        <f>SUM(D15:Q15)</f>
        <v>196.43860635009835</v>
      </c>
    </row>
    <row r="16" spans="1:18" ht="14.25">
      <c r="A16" s="63" t="s">
        <v>116</v>
      </c>
      <c r="B16" s="30" t="s">
        <v>139</v>
      </c>
      <c r="C16" s="73" t="s">
        <v>33</v>
      </c>
      <c r="D16" s="30"/>
      <c r="E16" s="2"/>
      <c r="F16" s="3"/>
      <c r="G16" s="2"/>
      <c r="H16" s="2"/>
      <c r="I16" s="2"/>
      <c r="J16" s="2"/>
      <c r="K16" s="2"/>
      <c r="L16" s="2"/>
      <c r="M16" s="8">
        <f>100-(35.6-34.03)/34.03*50</f>
        <v>97.69321187187775</v>
      </c>
      <c r="N16" s="8">
        <f>100-(36.8-31.67)/31.67*50</f>
        <v>91.90085254183771</v>
      </c>
      <c r="O16" s="2"/>
      <c r="P16" s="2"/>
      <c r="Q16" s="59"/>
      <c r="R16" s="57">
        <f>SUM(D16:Q16)</f>
        <v>189.59406441371544</v>
      </c>
    </row>
    <row r="17" spans="1:18" ht="14.25">
      <c r="A17" s="63" t="s">
        <v>117</v>
      </c>
      <c r="B17" s="30" t="s">
        <v>72</v>
      </c>
      <c r="C17" s="73" t="s">
        <v>73</v>
      </c>
      <c r="D17" s="30"/>
      <c r="E17" s="8">
        <f>100-(172.22-116.68)/116.68*50</f>
        <v>76.19986287281455</v>
      </c>
      <c r="F17" s="3"/>
      <c r="G17" s="2"/>
      <c r="H17" s="2"/>
      <c r="I17" s="2"/>
      <c r="J17" s="2"/>
      <c r="K17" s="2"/>
      <c r="L17" s="8">
        <f>100-(98.88-90.43)/90.43*50</f>
        <v>95.3278779166206</v>
      </c>
      <c r="M17" s="8"/>
      <c r="N17" s="2"/>
      <c r="O17" s="2"/>
      <c r="P17" s="8"/>
      <c r="Q17" s="47"/>
      <c r="R17" s="57">
        <f>SUM(D17:Q17)</f>
        <v>171.52774078943514</v>
      </c>
    </row>
    <row r="18" spans="1:18" ht="14.25">
      <c r="A18" s="63" t="s">
        <v>118</v>
      </c>
      <c r="B18" s="30" t="s">
        <v>178</v>
      </c>
      <c r="C18" s="73" t="s">
        <v>7</v>
      </c>
      <c r="D18" s="30"/>
      <c r="E18" s="2"/>
      <c r="F18" s="8"/>
      <c r="G18" s="2"/>
      <c r="H18" s="2"/>
      <c r="I18" s="2"/>
      <c r="J18" s="8"/>
      <c r="K18" s="8"/>
      <c r="L18" s="2"/>
      <c r="M18" s="2"/>
      <c r="N18" s="2"/>
      <c r="O18" s="2"/>
      <c r="P18" s="8">
        <f>100-(79.98-57.1)/57.1*50</f>
        <v>79.96497373029771</v>
      </c>
      <c r="Q18" s="47">
        <f>100-(82.67-65.08)/65.08*50</f>
        <v>86.48586355255071</v>
      </c>
      <c r="R18" s="57">
        <f>SUM(D18:Q18)</f>
        <v>166.45083728284843</v>
      </c>
    </row>
    <row r="19" spans="1:18" ht="14.25">
      <c r="A19" s="63" t="s">
        <v>129</v>
      </c>
      <c r="B19" s="30" t="s">
        <v>147</v>
      </c>
      <c r="C19" s="73" t="s">
        <v>35</v>
      </c>
      <c r="D19" s="30"/>
      <c r="E19" s="2"/>
      <c r="F19" s="3"/>
      <c r="G19" s="2"/>
      <c r="H19" s="2"/>
      <c r="I19" s="2"/>
      <c r="J19" s="2"/>
      <c r="K19" s="2"/>
      <c r="L19" s="8"/>
      <c r="M19" s="2"/>
      <c r="N19" s="8">
        <f>100-(42.53-31.67)/31.67*50</f>
        <v>82.85443637511841</v>
      </c>
      <c r="O19" s="8">
        <f>100-(138.02-103.73)/103.73*50</f>
        <v>83.47151258073845</v>
      </c>
      <c r="P19" s="8"/>
      <c r="Q19" s="47"/>
      <c r="R19" s="57">
        <f>SUM(D19:Q19)</f>
        <v>166.32594895585686</v>
      </c>
    </row>
    <row r="20" spans="1:18" ht="14.25">
      <c r="A20" s="63" t="s">
        <v>137</v>
      </c>
      <c r="B20" s="30" t="s">
        <v>22</v>
      </c>
      <c r="C20" s="73" t="s">
        <v>27</v>
      </c>
      <c r="D20" s="78">
        <f>100-(115-71.18)/71.18*50</f>
        <v>69.21888170834505</v>
      </c>
      <c r="E20" s="8">
        <f>100-(159.55-116.68)/116.68*50</f>
        <v>81.62924237230031</v>
      </c>
      <c r="F20" s="3"/>
      <c r="G20" s="2"/>
      <c r="H20" s="2"/>
      <c r="I20" s="2"/>
      <c r="J20" s="2"/>
      <c r="K20" s="2"/>
      <c r="L20" s="8"/>
      <c r="M20" s="8"/>
      <c r="N20" s="2"/>
      <c r="O20" s="2"/>
      <c r="P20" s="8"/>
      <c r="Q20" s="47"/>
      <c r="R20" s="57">
        <f>SUM(D20:Q20)</f>
        <v>150.84812408064536</v>
      </c>
    </row>
    <row r="21" spans="1:18" ht="14.25">
      <c r="A21" s="63" t="s">
        <v>140</v>
      </c>
      <c r="B21" s="30" t="s">
        <v>138</v>
      </c>
      <c r="C21" s="73" t="s">
        <v>27</v>
      </c>
      <c r="D21" s="30"/>
      <c r="E21" s="2"/>
      <c r="F21" s="3"/>
      <c r="G21" s="2"/>
      <c r="H21" s="2"/>
      <c r="I21" s="2"/>
      <c r="J21" s="2"/>
      <c r="K21" s="2"/>
      <c r="L21" s="8"/>
      <c r="M21" s="8">
        <f>100-(34.03-34.03)/34.03*50</f>
        <v>100</v>
      </c>
      <c r="N21" s="2"/>
      <c r="O21" s="2"/>
      <c r="P21" s="8"/>
      <c r="Q21" s="48"/>
      <c r="R21" s="57">
        <f>SUM(D21:Q21)</f>
        <v>100</v>
      </c>
    </row>
    <row r="22" spans="1:18" ht="14.25">
      <c r="A22" s="63" t="s">
        <v>157</v>
      </c>
      <c r="B22" s="136" t="s">
        <v>174</v>
      </c>
      <c r="C22" s="135" t="s">
        <v>175</v>
      </c>
      <c r="D22" s="136"/>
      <c r="E22" s="120"/>
      <c r="F22" s="121"/>
      <c r="G22" s="120"/>
      <c r="H22" s="120"/>
      <c r="I22" s="120"/>
      <c r="J22" s="121"/>
      <c r="K22" s="121"/>
      <c r="L22" s="120"/>
      <c r="M22" s="120"/>
      <c r="N22" s="120"/>
      <c r="O22" s="120"/>
      <c r="P22" s="8">
        <f>100-(76.1-57.1)/57.1*50</f>
        <v>83.36252189141857</v>
      </c>
      <c r="Q22" s="2"/>
      <c r="R22" s="57">
        <f>SUM(D22:Q22)</f>
        <v>83.36252189141857</v>
      </c>
    </row>
    <row r="23" spans="1:18" ht="14.25">
      <c r="A23" s="63" t="s">
        <v>176</v>
      </c>
      <c r="B23" s="136" t="s">
        <v>173</v>
      </c>
      <c r="C23" s="135" t="s">
        <v>35</v>
      </c>
      <c r="D23" s="136"/>
      <c r="E23" s="120"/>
      <c r="F23" s="121"/>
      <c r="G23" s="120"/>
      <c r="H23" s="120"/>
      <c r="I23" s="120"/>
      <c r="J23" s="121"/>
      <c r="K23" s="121"/>
      <c r="L23" s="120"/>
      <c r="M23" s="120"/>
      <c r="N23" s="120"/>
      <c r="O23" s="120"/>
      <c r="P23" s="8"/>
      <c r="Q23" s="8">
        <f>100-(99.73-65.08)/65.08*50</f>
        <v>73.37891825445605</v>
      </c>
      <c r="R23" s="57">
        <f>SUM(D23:Q23)</f>
        <v>73.37891825445605</v>
      </c>
    </row>
    <row r="24" spans="1:18" ht="14.25">
      <c r="A24" s="63" t="s">
        <v>177</v>
      </c>
      <c r="B24" s="136" t="s">
        <v>183</v>
      </c>
      <c r="C24" s="135" t="s">
        <v>175</v>
      </c>
      <c r="D24" s="136"/>
      <c r="E24" s="120"/>
      <c r="F24" s="121"/>
      <c r="G24" s="120"/>
      <c r="H24" s="120"/>
      <c r="I24" s="120"/>
      <c r="J24" s="121"/>
      <c r="K24" s="121"/>
      <c r="L24" s="120"/>
      <c r="M24" s="120"/>
      <c r="N24" s="120"/>
      <c r="O24" s="120"/>
      <c r="P24" s="8"/>
      <c r="Q24" s="8">
        <f>100-(106.73-65.08)/65.08*50</f>
        <v>68.00092194222495</v>
      </c>
      <c r="R24" s="57">
        <f>SUM(D24:Q24)</f>
        <v>68.00092194222495</v>
      </c>
    </row>
    <row r="25" spans="1:18" ht="14.25">
      <c r="A25" s="63" t="s">
        <v>181</v>
      </c>
      <c r="B25" s="136" t="s">
        <v>104</v>
      </c>
      <c r="C25" s="135" t="s">
        <v>98</v>
      </c>
      <c r="D25" s="136"/>
      <c r="E25" s="120"/>
      <c r="F25" s="121">
        <f>100-(83.1-48.72)/48.72*50</f>
        <v>64.71674876847291</v>
      </c>
      <c r="G25" s="120"/>
      <c r="H25" s="120"/>
      <c r="I25" s="120"/>
      <c r="J25" s="121"/>
      <c r="K25" s="121"/>
      <c r="L25" s="120"/>
      <c r="M25" s="120"/>
      <c r="N25" s="120"/>
      <c r="O25" s="120"/>
      <c r="P25" s="2"/>
      <c r="Q25" s="137"/>
      <c r="R25" s="57">
        <f>SUM(D25:Q25)</f>
        <v>64.71674876847291</v>
      </c>
    </row>
    <row r="26" spans="1:18" ht="15" thickBot="1">
      <c r="A26" s="64" t="s">
        <v>182</v>
      </c>
      <c r="B26" s="60" t="s">
        <v>105</v>
      </c>
      <c r="C26" s="75" t="s">
        <v>106</v>
      </c>
      <c r="D26" s="60"/>
      <c r="E26" s="35"/>
      <c r="F26" s="36">
        <f>100-(90.78-48.72)/48.72*50</f>
        <v>56.83497536945812</v>
      </c>
      <c r="G26" s="35"/>
      <c r="H26" s="35"/>
      <c r="I26" s="35"/>
      <c r="J26" s="35"/>
      <c r="K26" s="35"/>
      <c r="L26" s="36"/>
      <c r="M26" s="36"/>
      <c r="N26" s="35"/>
      <c r="O26" s="35"/>
      <c r="P26" s="35"/>
      <c r="Q26" s="89"/>
      <c r="R26" s="58">
        <f>SUM(D26:Q26)</f>
        <v>56.83497536945812</v>
      </c>
    </row>
    <row r="27" spans="1:18" ht="14.25">
      <c r="A27" s="14"/>
      <c r="B27" s="14"/>
      <c r="C27" s="14"/>
      <c r="D27" s="14"/>
      <c r="E27" s="14"/>
      <c r="F27" s="19"/>
      <c r="G27" s="14"/>
      <c r="H27" s="14"/>
      <c r="I27" s="14"/>
      <c r="J27" s="14"/>
      <c r="K27" s="14"/>
      <c r="L27" s="15"/>
      <c r="M27" s="14"/>
      <c r="N27" s="14"/>
      <c r="O27" s="14"/>
      <c r="P27" s="15"/>
      <c r="Q27" s="15"/>
      <c r="R27" s="18"/>
    </row>
    <row r="28" s="28" customFormat="1" ht="14.25">
      <c r="A28" s="28" t="s">
        <v>43</v>
      </c>
    </row>
    <row r="29" s="27" customFormat="1" ht="14.25">
      <c r="A29" s="27" t="s">
        <v>53</v>
      </c>
    </row>
  </sheetData>
  <sheetProtection/>
  <autoFilter ref="B2:R2">
    <sortState ref="B3:R29">
      <sortCondition descending="1" sortBy="value" ref="Q3:Q29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P2" sqref="P2:Q2"/>
    </sheetView>
  </sheetViews>
  <sheetFormatPr defaultColWidth="9.140625" defaultRowHeight="15"/>
  <cols>
    <col min="1" max="1" width="4.7109375" style="1" customWidth="1"/>
    <col min="2" max="2" width="18.00390625" style="1" customWidth="1"/>
    <col min="3" max="3" width="11.8515625" style="1" customWidth="1"/>
    <col min="4" max="18" width="9.140625" style="1" customWidth="1"/>
    <col min="19" max="32" width="9.00390625" style="14" customWidth="1"/>
    <col min="33" max="16384" width="9.00390625" style="1" customWidth="1"/>
  </cols>
  <sheetData>
    <row r="1" spans="1:20" ht="34.5" thickBo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31"/>
      <c r="T1" s="31"/>
    </row>
    <row r="2" spans="1:20" ht="184.5" thickBot="1">
      <c r="A2" s="42" t="s">
        <v>54</v>
      </c>
      <c r="B2" s="43" t="s">
        <v>55</v>
      </c>
      <c r="C2" s="43" t="s">
        <v>0</v>
      </c>
      <c r="D2" s="65" t="s">
        <v>66</v>
      </c>
      <c r="E2" s="44" t="s">
        <v>67</v>
      </c>
      <c r="F2" s="65" t="s">
        <v>94</v>
      </c>
      <c r="G2" s="65" t="s">
        <v>95</v>
      </c>
      <c r="H2" s="65" t="s">
        <v>119</v>
      </c>
      <c r="I2" s="65" t="s">
        <v>120</v>
      </c>
      <c r="J2" s="65" t="s">
        <v>121</v>
      </c>
      <c r="K2" s="65" t="s">
        <v>122</v>
      </c>
      <c r="L2" s="44" t="s">
        <v>125</v>
      </c>
      <c r="M2" s="44" t="s">
        <v>124</v>
      </c>
      <c r="N2" s="44" t="s">
        <v>142</v>
      </c>
      <c r="O2" s="44" t="s">
        <v>143</v>
      </c>
      <c r="P2" s="44" t="s">
        <v>159</v>
      </c>
      <c r="Q2" s="44" t="s">
        <v>158</v>
      </c>
      <c r="R2" s="45" t="s">
        <v>1</v>
      </c>
      <c r="S2" s="29"/>
      <c r="T2" s="29"/>
    </row>
    <row r="3" spans="1:18" ht="14.25">
      <c r="A3" s="107" t="s">
        <v>56</v>
      </c>
      <c r="B3" s="108" t="s">
        <v>113</v>
      </c>
      <c r="C3" s="108" t="s">
        <v>111</v>
      </c>
      <c r="D3" s="101"/>
      <c r="E3" s="101"/>
      <c r="F3" s="115">
        <f>100-(37.47-37.47)/37.47*50</f>
        <v>100</v>
      </c>
      <c r="G3" s="8">
        <f>100-(56.8-56.8)/56.8*50</f>
        <v>100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9">
        <f aca="true" t="shared" si="0" ref="R3:R10">SUM(D3:Q3)</f>
        <v>200</v>
      </c>
    </row>
    <row r="4" spans="1:18" ht="14.25">
      <c r="A4" s="32" t="s">
        <v>57</v>
      </c>
      <c r="B4" s="2" t="s">
        <v>79</v>
      </c>
      <c r="C4" s="2" t="s">
        <v>4</v>
      </c>
      <c r="D4" s="13"/>
      <c r="E4" s="8"/>
      <c r="F4" s="7"/>
      <c r="G4" s="8"/>
      <c r="H4" s="8"/>
      <c r="I4" s="8"/>
      <c r="J4" s="8"/>
      <c r="K4" s="8"/>
      <c r="L4" s="8"/>
      <c r="M4" s="8"/>
      <c r="N4" s="8">
        <f>100-(43.9-34.35)/34.35*50</f>
        <v>86.09898107714702</v>
      </c>
      <c r="O4" s="8"/>
      <c r="P4" s="8"/>
      <c r="Q4" s="8"/>
      <c r="R4" s="33">
        <f t="shared" si="0"/>
        <v>86.09898107714702</v>
      </c>
    </row>
    <row r="5" spans="1:18" ht="14.25">
      <c r="A5" s="32" t="s">
        <v>58</v>
      </c>
      <c r="B5" s="30" t="s">
        <v>133</v>
      </c>
      <c r="C5" s="2" t="s">
        <v>14</v>
      </c>
      <c r="D5" s="77"/>
      <c r="E5" s="8"/>
      <c r="F5" s="8"/>
      <c r="G5" s="8"/>
      <c r="H5" s="8"/>
      <c r="I5" s="8"/>
      <c r="J5" s="8"/>
      <c r="K5" s="8"/>
      <c r="L5" s="10" t="s">
        <v>52</v>
      </c>
      <c r="M5" s="8"/>
      <c r="N5" s="8"/>
      <c r="O5" s="10"/>
      <c r="P5" s="8"/>
      <c r="Q5" s="8"/>
      <c r="R5" s="33">
        <f t="shared" si="0"/>
        <v>0</v>
      </c>
    </row>
    <row r="6" spans="1:18" ht="14.25">
      <c r="A6" s="32"/>
      <c r="B6" s="2"/>
      <c r="C6" s="2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33">
        <f t="shared" si="0"/>
        <v>0</v>
      </c>
    </row>
    <row r="7" spans="1:18" ht="14.25">
      <c r="A7" s="32"/>
      <c r="B7" s="2"/>
      <c r="C7" s="2"/>
      <c r="D7" s="13"/>
      <c r="E7" s="8"/>
      <c r="F7" s="2"/>
      <c r="G7" s="2"/>
      <c r="H7" s="2"/>
      <c r="I7" s="2"/>
      <c r="J7" s="8"/>
      <c r="K7" s="8"/>
      <c r="L7" s="2"/>
      <c r="M7" s="2"/>
      <c r="N7" s="8"/>
      <c r="O7" s="8"/>
      <c r="P7" s="2"/>
      <c r="Q7" s="2"/>
      <c r="R7" s="33">
        <f t="shared" si="0"/>
        <v>0</v>
      </c>
    </row>
    <row r="8" spans="1:18" ht="14.25">
      <c r="A8" s="32"/>
      <c r="B8" s="2"/>
      <c r="C8" s="2"/>
      <c r="D8" s="11"/>
      <c r="E8" s="8"/>
      <c r="F8" s="8"/>
      <c r="G8" s="2"/>
      <c r="H8" s="2"/>
      <c r="I8" s="2"/>
      <c r="J8" s="2"/>
      <c r="K8" s="2"/>
      <c r="L8" s="2"/>
      <c r="M8" s="8"/>
      <c r="N8" s="2"/>
      <c r="O8" s="2"/>
      <c r="P8" s="8"/>
      <c r="Q8" s="8"/>
      <c r="R8" s="33">
        <f t="shared" si="0"/>
        <v>0</v>
      </c>
    </row>
    <row r="9" spans="1:18" ht="14.25">
      <c r="A9" s="32"/>
      <c r="B9" s="2"/>
      <c r="C9" s="2"/>
      <c r="D9" s="2"/>
      <c r="E9" s="8"/>
      <c r="F9" s="2"/>
      <c r="G9" s="2"/>
      <c r="H9" s="2"/>
      <c r="I9" s="2"/>
      <c r="J9" s="2"/>
      <c r="K9" s="2"/>
      <c r="L9" s="2"/>
      <c r="M9" s="8"/>
      <c r="N9" s="2"/>
      <c r="O9" s="2"/>
      <c r="P9" s="8"/>
      <c r="Q9" s="8"/>
      <c r="R9" s="33">
        <f t="shared" si="0"/>
        <v>0</v>
      </c>
    </row>
    <row r="10" spans="1:18" ht="15" thickBo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36"/>
      <c r="P10" s="37"/>
      <c r="Q10" s="37"/>
      <c r="R10" s="38">
        <f t="shared" si="0"/>
        <v>0</v>
      </c>
    </row>
    <row r="11" spans="1:18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5"/>
      <c r="P11" s="17"/>
      <c r="Q11" s="15"/>
      <c r="R11" s="18"/>
    </row>
    <row r="12" spans="1:18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5"/>
      <c r="P12" s="14"/>
      <c r="Q12" s="14"/>
      <c r="R12" s="18"/>
    </row>
    <row r="13" spans="1:18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4"/>
      <c r="P13" s="14"/>
      <c r="Q13" s="14"/>
      <c r="R13" s="14"/>
    </row>
    <row r="14" s="28" customFormat="1" ht="14.25">
      <c r="A14" s="28" t="s">
        <v>43</v>
      </c>
    </row>
    <row r="15" s="27" customFormat="1" ht="14.25">
      <c r="A15" s="27" t="s">
        <v>53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T7" sqref="T7"/>
    </sheetView>
  </sheetViews>
  <sheetFormatPr defaultColWidth="9.140625" defaultRowHeight="15"/>
  <cols>
    <col min="1" max="1" width="4.7109375" style="1" customWidth="1"/>
    <col min="2" max="2" width="18.00390625" style="1" customWidth="1"/>
    <col min="3" max="3" width="11.8515625" style="1" customWidth="1"/>
    <col min="4" max="18" width="9.140625" style="1" customWidth="1"/>
    <col min="19" max="32" width="9.00390625" style="14" customWidth="1"/>
    <col min="33" max="16384" width="9.00390625" style="1" customWidth="1"/>
  </cols>
  <sheetData>
    <row r="1" spans="1:20" ht="34.5" thickBo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31"/>
      <c r="T1" s="31"/>
    </row>
    <row r="2" spans="1:20" ht="184.5" thickBot="1">
      <c r="A2" s="42" t="s">
        <v>54</v>
      </c>
      <c r="B2" s="43" t="s">
        <v>55</v>
      </c>
      <c r="C2" s="43" t="s">
        <v>0</v>
      </c>
      <c r="D2" s="65" t="s">
        <v>66</v>
      </c>
      <c r="E2" s="44" t="s">
        <v>67</v>
      </c>
      <c r="F2" s="65" t="s">
        <v>94</v>
      </c>
      <c r="G2" s="65" t="s">
        <v>95</v>
      </c>
      <c r="H2" s="65" t="s">
        <v>119</v>
      </c>
      <c r="I2" s="65" t="s">
        <v>120</v>
      </c>
      <c r="J2" s="65" t="s">
        <v>121</v>
      </c>
      <c r="K2" s="65" t="s">
        <v>122</v>
      </c>
      <c r="L2" s="44" t="s">
        <v>125</v>
      </c>
      <c r="M2" s="44" t="s">
        <v>124</v>
      </c>
      <c r="N2" s="44" t="s">
        <v>142</v>
      </c>
      <c r="O2" s="44" t="s">
        <v>143</v>
      </c>
      <c r="P2" s="44" t="s">
        <v>159</v>
      </c>
      <c r="Q2" s="44" t="s">
        <v>158</v>
      </c>
      <c r="R2" s="45" t="s">
        <v>1</v>
      </c>
      <c r="S2" s="29"/>
      <c r="T2" s="29"/>
    </row>
    <row r="3" spans="1:18" ht="14.25">
      <c r="A3" s="107" t="s">
        <v>56</v>
      </c>
      <c r="B3" s="108" t="s">
        <v>13</v>
      </c>
      <c r="C3" s="108" t="s">
        <v>14</v>
      </c>
      <c r="D3" s="101">
        <f>100-(57.35-57.35)/57.35*50</f>
        <v>100</v>
      </c>
      <c r="E3" s="126">
        <f>100-(71.52-68.78)/68.78*50</f>
        <v>98.00814190171562</v>
      </c>
      <c r="F3" s="115">
        <f>100-(42.07-42.07)/42.07*50</f>
        <v>100</v>
      </c>
      <c r="G3" s="128">
        <f>100-(84.87-82.6)/82.6*50</f>
        <v>98.62590799031476</v>
      </c>
      <c r="H3" s="115">
        <f>100-(37.78-37.78)/37.78*50</f>
        <v>100</v>
      </c>
      <c r="I3" s="101"/>
      <c r="J3" s="101">
        <f>100-(55.78-55.78)/55.78*50</f>
        <v>100</v>
      </c>
      <c r="K3" s="101">
        <f>100-(83.62-83.62)/83.62*50</f>
        <v>100</v>
      </c>
      <c r="L3" s="125">
        <f>100-(69.27-64.68)/64.68*50</f>
        <v>96.4517625231911</v>
      </c>
      <c r="M3" s="13">
        <f>100-(23.73-23.65)/23.65*50</f>
        <v>99.83086680761099</v>
      </c>
      <c r="N3" s="101">
        <f>100-(37.75-37.75)/37.75*50</f>
        <v>100</v>
      </c>
      <c r="O3" s="125">
        <f>100-(89.88-88.83)/88.83*50</f>
        <v>99.40898345153664</v>
      </c>
      <c r="P3" s="125">
        <f>100-(49.75-48.38)/48.38*50</f>
        <v>98.5841256717652</v>
      </c>
      <c r="Q3" s="10" t="s">
        <v>52</v>
      </c>
      <c r="R3" s="109">
        <f>SUM(D3:Q3)-E3-G3-L3-O3-P3</f>
        <v>699.8308668076111</v>
      </c>
    </row>
    <row r="4" spans="1:18" ht="14.25">
      <c r="A4" s="32" t="s">
        <v>57</v>
      </c>
      <c r="B4" s="2" t="s">
        <v>34</v>
      </c>
      <c r="C4" s="2" t="s">
        <v>2</v>
      </c>
      <c r="D4" s="125">
        <f>100-(62.2-57.35)/57.35*50</f>
        <v>95.77157802964254</v>
      </c>
      <c r="E4" s="8">
        <f>100-(68.78-68.78)/68.78*50</f>
        <v>100</v>
      </c>
      <c r="F4" s="128">
        <f>100-(42.37-42.07)/42.07*50</f>
        <v>99.64345139053958</v>
      </c>
      <c r="G4" s="8">
        <f>100-(82.6-82.6)/82.6*50</f>
        <v>100</v>
      </c>
      <c r="H4" s="8"/>
      <c r="I4" s="8"/>
      <c r="J4" s="128">
        <f>100-(58.1-55.78)/55.78*50</f>
        <v>97.9204015776264</v>
      </c>
      <c r="K4" s="125">
        <f>100-(84.95-83.62)/83.62*50</f>
        <v>99.20473570916049</v>
      </c>
      <c r="L4" s="13">
        <f>100-(64.68-64.68)/64.68*50</f>
        <v>100</v>
      </c>
      <c r="M4" s="13">
        <f>100-(23.65-23.65)/23.65*50</f>
        <v>100</v>
      </c>
      <c r="N4" s="10" t="s">
        <v>52</v>
      </c>
      <c r="O4" s="13">
        <f>100-(88.83-88.83)/88.83*50</f>
        <v>100</v>
      </c>
      <c r="P4" s="13">
        <f>100-(48.38-48.38)/48.38*50</f>
        <v>100</v>
      </c>
      <c r="Q4" s="13">
        <f>100-(58.3-58.3)/58.3*50</f>
        <v>100</v>
      </c>
      <c r="R4" s="33">
        <f>SUM(D4:Q4)-D4-F4-J4-K4</f>
        <v>700.0000000000001</v>
      </c>
    </row>
    <row r="5" spans="1:18" ht="14.25">
      <c r="A5" s="32" t="s">
        <v>58</v>
      </c>
      <c r="B5" s="2" t="s">
        <v>44</v>
      </c>
      <c r="C5" s="2" t="s">
        <v>9</v>
      </c>
      <c r="D5" s="125">
        <f>100-(75.28-57.35)/57.35*50</f>
        <v>84.36791630340018</v>
      </c>
      <c r="E5" s="8">
        <f>100-(82.07-68.78)/68.78*50</f>
        <v>90.33876126781041</v>
      </c>
      <c r="F5" s="8">
        <f>100-(49.28-42.07)/42.07*50</f>
        <v>91.43094841930116</v>
      </c>
      <c r="G5" s="8">
        <f>100-(100.33-82.6)/82.6*50</f>
        <v>89.26755447941888</v>
      </c>
      <c r="H5" s="8"/>
      <c r="I5" s="8"/>
      <c r="J5" s="116">
        <f>100-(72.95-55.78)/55.78*50</f>
        <v>84.60917891717462</v>
      </c>
      <c r="K5" s="13">
        <f>100-(98.18-83.62)/83.62*50</f>
        <v>91.29394881607271</v>
      </c>
      <c r="L5" s="125">
        <f>100-(89.72-64.68)/64.68*50</f>
        <v>80.64316635745209</v>
      </c>
      <c r="M5" s="13">
        <f>100-(29.42-23.65)/23.65*50</f>
        <v>87.8012684989429</v>
      </c>
      <c r="N5" s="125">
        <f>100-(50.92-37.75)/37.75*50</f>
        <v>82.55629139072848</v>
      </c>
      <c r="O5" s="13">
        <f>100-(112.73-88.83)/88.83*50</f>
        <v>86.54733761116739</v>
      </c>
      <c r="P5" s="8"/>
      <c r="Q5" s="9"/>
      <c r="R5" s="33">
        <f>SUM(D5:Q5)-(D5+L5+N5)</f>
        <v>621.2889980098881</v>
      </c>
    </row>
    <row r="6" spans="1:18" ht="14.25">
      <c r="A6" s="32" t="s">
        <v>59</v>
      </c>
      <c r="B6" s="2" t="s">
        <v>19</v>
      </c>
      <c r="C6" s="2" t="s">
        <v>2</v>
      </c>
      <c r="D6" s="13">
        <f>100-(65.33-57.35)/57.35*50</f>
        <v>93.04272013949434</v>
      </c>
      <c r="E6" s="8">
        <f>100-(90.15-68.78)/68.78*50</f>
        <v>84.46496074440245</v>
      </c>
      <c r="F6" s="7"/>
      <c r="G6" s="8"/>
      <c r="H6" s="8"/>
      <c r="I6" s="8"/>
      <c r="J6" s="8">
        <f>100-(70.17-55.78)/55.78*50</f>
        <v>87.1011115095016</v>
      </c>
      <c r="K6" s="13">
        <f>100-(96.28-83.62)/83.62*50</f>
        <v>92.43004066012915</v>
      </c>
      <c r="L6" s="125">
        <f>100-(93.55-64.68)/64.68*50</f>
        <v>77.68243661100806</v>
      </c>
      <c r="M6" s="13">
        <f>100-(28.02-23.65)/23.65*50</f>
        <v>90.76109936575052</v>
      </c>
      <c r="N6" s="125">
        <f>100-(50.33-37.75)/37.75*50</f>
        <v>83.33774834437087</v>
      </c>
      <c r="O6" s="13">
        <f>100-(113.77-88.83)/88.83*50</f>
        <v>85.96194979173703</v>
      </c>
      <c r="P6" s="13">
        <f>100-(60.35-48.38)/48.38*50</f>
        <v>87.62918561389004</v>
      </c>
      <c r="Q6" s="125">
        <f>100-(78.25-58.3)/58.3*50</f>
        <v>82.8902229845626</v>
      </c>
      <c r="R6" s="33">
        <f>SUM(D6:Q6)-L6-N6-Q6</f>
        <v>621.3910678249051</v>
      </c>
    </row>
    <row r="7" spans="1:18" ht="14.25">
      <c r="A7" s="32" t="s">
        <v>60</v>
      </c>
      <c r="B7" s="2" t="s">
        <v>49</v>
      </c>
      <c r="C7" s="2" t="s">
        <v>17</v>
      </c>
      <c r="D7" s="11"/>
      <c r="E7" s="8">
        <f>100-(80.97-68.78)/68.78*50</f>
        <v>91.13841232916546</v>
      </c>
      <c r="F7" s="8">
        <f>100-(44.1-42.07)/42.07*50</f>
        <v>97.5873544093178</v>
      </c>
      <c r="G7" s="2"/>
      <c r="H7" s="2"/>
      <c r="I7" s="2"/>
      <c r="J7" s="122"/>
      <c r="K7" s="2"/>
      <c r="L7" s="2"/>
      <c r="M7" s="8"/>
      <c r="N7" s="2"/>
      <c r="O7" s="13">
        <f>100-(134.87-88.83)/88.83*50</f>
        <v>74.08533153214003</v>
      </c>
      <c r="P7" s="8"/>
      <c r="Q7" s="8"/>
      <c r="R7" s="33">
        <f aca="true" t="shared" si="0" ref="R7:R12">SUM(D7:Q7)</f>
        <v>262.8110982706233</v>
      </c>
    </row>
    <row r="8" spans="1:18" ht="14.25">
      <c r="A8" s="32" t="s">
        <v>61</v>
      </c>
      <c r="B8" s="2" t="s">
        <v>138</v>
      </c>
      <c r="C8" s="2" t="s">
        <v>27</v>
      </c>
      <c r="D8" s="11"/>
      <c r="E8" s="2"/>
      <c r="F8" s="2"/>
      <c r="G8" s="2"/>
      <c r="H8" s="2"/>
      <c r="I8" s="2"/>
      <c r="J8" s="2"/>
      <c r="K8" s="2"/>
      <c r="L8" s="2"/>
      <c r="M8" s="8"/>
      <c r="N8" s="8">
        <f>100-(38.28-37.75)/37.75*50</f>
        <v>99.2980132450331</v>
      </c>
      <c r="O8" s="8">
        <f>100-(99.45-88.83)/88.83*50</f>
        <v>94.02228976697062</v>
      </c>
      <c r="P8" s="2"/>
      <c r="Q8" s="2"/>
      <c r="R8" s="33">
        <f t="shared" si="0"/>
        <v>193.3203030120037</v>
      </c>
    </row>
    <row r="9" spans="1:18" ht="14.25">
      <c r="A9" s="32" t="s">
        <v>62</v>
      </c>
      <c r="B9" s="2" t="s">
        <v>40</v>
      </c>
      <c r="C9" s="2" t="s">
        <v>18</v>
      </c>
      <c r="D9" s="2"/>
      <c r="E9" s="8">
        <f>100-(89.9-68.78)/68.78*50</f>
        <v>84.64669962198313</v>
      </c>
      <c r="F9" s="2"/>
      <c r="G9" s="2"/>
      <c r="H9" s="2"/>
      <c r="I9" s="2"/>
      <c r="J9" s="2"/>
      <c r="K9" s="2"/>
      <c r="L9" s="2"/>
      <c r="M9" s="13">
        <f>100-(27.88-23.65)/23.65*50</f>
        <v>91.05708245243129</v>
      </c>
      <c r="N9" s="2"/>
      <c r="O9" s="2"/>
      <c r="P9" s="8"/>
      <c r="Q9" s="8"/>
      <c r="R9" s="33">
        <f t="shared" si="0"/>
        <v>175.70378207441442</v>
      </c>
    </row>
    <row r="10" spans="1:18" ht="14.25">
      <c r="A10" s="32" t="s">
        <v>63</v>
      </c>
      <c r="B10" s="120" t="s">
        <v>75</v>
      </c>
      <c r="C10" s="120" t="s">
        <v>76</v>
      </c>
      <c r="D10" s="121">
        <f>100-(100.57-57.35)/57.35*50</f>
        <v>62.31909328683523</v>
      </c>
      <c r="E10" s="121">
        <f>100-(108.93-68.78)/68.78*50</f>
        <v>70.81273626054085</v>
      </c>
      <c r="F10" s="120"/>
      <c r="G10" s="120"/>
      <c r="H10" s="120"/>
      <c r="I10" s="2"/>
      <c r="J10" s="8"/>
      <c r="K10" s="8"/>
      <c r="L10" s="2"/>
      <c r="M10" s="2"/>
      <c r="N10" s="8"/>
      <c r="O10" s="8"/>
      <c r="P10" s="2"/>
      <c r="Q10" s="2"/>
      <c r="R10" s="33">
        <f t="shared" si="0"/>
        <v>133.13182954737607</v>
      </c>
    </row>
    <row r="11" spans="1:18" ht="14.25">
      <c r="A11" s="87" t="s">
        <v>64</v>
      </c>
      <c r="B11" s="2" t="s">
        <v>82</v>
      </c>
      <c r="C11" s="2" t="s">
        <v>83</v>
      </c>
      <c r="D11" s="2"/>
      <c r="E11" s="2"/>
      <c r="F11" s="2"/>
      <c r="G11" s="3"/>
      <c r="H11" s="8">
        <f>100-(61-37.78)/37.78*50</f>
        <v>69.2694547379566</v>
      </c>
      <c r="I11" s="10" t="s">
        <v>52</v>
      </c>
      <c r="J11" s="2"/>
      <c r="K11" s="3"/>
      <c r="L11" s="8"/>
      <c r="M11" s="3"/>
      <c r="N11" s="4"/>
      <c r="O11" s="2"/>
      <c r="P11" s="13">
        <f>100-(70.55-48.38)/48.38*50</f>
        <v>77.087639520463</v>
      </c>
      <c r="Q11" s="13">
        <f>100-(100.53-58.3)/58.3*50</f>
        <v>63.78216123499142</v>
      </c>
      <c r="R11" s="33">
        <f t="shared" si="0"/>
        <v>210.13925549341099</v>
      </c>
    </row>
    <row r="12" spans="1:18" ht="14.25">
      <c r="A12" s="32" t="s">
        <v>65</v>
      </c>
      <c r="B12" s="30" t="s">
        <v>74</v>
      </c>
      <c r="C12" s="2" t="s">
        <v>4</v>
      </c>
      <c r="D12" s="78">
        <f>100-(129.65-57.35)/57.35*50</f>
        <v>36.96599825632083</v>
      </c>
      <c r="E12" s="2"/>
      <c r="F12" s="2"/>
      <c r="G12" s="2"/>
      <c r="H12" s="2"/>
      <c r="I12" s="2"/>
      <c r="J12" s="8"/>
      <c r="K12" s="8"/>
      <c r="L12" s="8"/>
      <c r="M12" s="8"/>
      <c r="N12" s="11"/>
      <c r="O12" s="11"/>
      <c r="P12" s="8"/>
      <c r="Q12" s="8"/>
      <c r="R12" s="33">
        <f t="shared" si="0"/>
        <v>36.96599825632083</v>
      </c>
    </row>
    <row r="13" spans="1:18" ht="14.25">
      <c r="A13" s="32" t="s">
        <v>81</v>
      </c>
      <c r="B13" s="2" t="s">
        <v>184</v>
      </c>
      <c r="C13" s="2" t="s">
        <v>175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8"/>
      <c r="O13" s="8"/>
      <c r="P13" s="2"/>
      <c r="Q13" s="13">
        <f>100-(112.63-58.3)/58.3*50</f>
        <v>53.40480274442538</v>
      </c>
      <c r="R13" s="33">
        <f aca="true" t="shared" si="1" ref="R13:R18">SUM(D13:Q13)</f>
        <v>53.40480274442538</v>
      </c>
    </row>
    <row r="14" spans="1:18" ht="14.25">
      <c r="A14" s="3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8"/>
      <c r="O14" s="2"/>
      <c r="P14" s="2"/>
      <c r="Q14" s="2"/>
      <c r="R14" s="33">
        <f t="shared" si="1"/>
        <v>0</v>
      </c>
    </row>
    <row r="15" spans="1:18" ht="14.25">
      <c r="A15" s="32"/>
      <c r="B15" s="2"/>
      <c r="C15" s="2"/>
      <c r="D15" s="2"/>
      <c r="E15" s="2"/>
      <c r="F15" s="2"/>
      <c r="G15" s="2"/>
      <c r="H15" s="2"/>
      <c r="I15" s="2"/>
      <c r="J15" s="2"/>
      <c r="K15" s="2"/>
      <c r="L15" s="8"/>
      <c r="M15" s="2"/>
      <c r="N15" s="2"/>
      <c r="O15" s="2"/>
      <c r="P15" s="2"/>
      <c r="Q15" s="2"/>
      <c r="R15" s="33">
        <f t="shared" si="1"/>
        <v>0</v>
      </c>
    </row>
    <row r="16" spans="1:18" ht="14.25">
      <c r="A16" s="3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  <c r="O16" s="2"/>
      <c r="P16" s="2"/>
      <c r="Q16" s="2"/>
      <c r="R16" s="33">
        <f t="shared" si="1"/>
        <v>0</v>
      </c>
    </row>
    <row r="17" spans="1:18" ht="14.25">
      <c r="A17" s="3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8"/>
      <c r="O17" s="8"/>
      <c r="P17" s="9"/>
      <c r="Q17" s="8"/>
      <c r="R17" s="33">
        <f t="shared" si="1"/>
        <v>0</v>
      </c>
    </row>
    <row r="18" spans="1:18" ht="15" thickBo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6"/>
      <c r="P18" s="37"/>
      <c r="Q18" s="37"/>
      <c r="R18" s="38">
        <f t="shared" si="1"/>
        <v>0</v>
      </c>
    </row>
    <row r="19" spans="1:18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5"/>
      <c r="P19" s="17"/>
      <c r="Q19" s="15"/>
      <c r="R19" s="18"/>
    </row>
    <row r="20" spans="1:18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5"/>
      <c r="P20" s="14"/>
      <c r="Q20" s="14"/>
      <c r="R20" s="18"/>
    </row>
    <row r="21" spans="1:18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4"/>
      <c r="P21" s="14"/>
      <c r="Q21" s="14"/>
      <c r="R21" s="14"/>
    </row>
    <row r="22" s="28" customFormat="1" ht="14.25">
      <c r="A22" s="28" t="s">
        <v>43</v>
      </c>
    </row>
    <row r="23" s="27" customFormat="1" ht="14.25">
      <c r="A23" s="27" t="s">
        <v>53</v>
      </c>
    </row>
  </sheetData>
  <sheetProtection/>
  <autoFilter ref="B2:R2">
    <sortState ref="B3:R23">
      <sortCondition descending="1" sortBy="value" ref="Q3:Q23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P2" sqref="P2:Q2"/>
    </sheetView>
  </sheetViews>
  <sheetFormatPr defaultColWidth="9.140625" defaultRowHeight="15"/>
  <cols>
    <col min="1" max="1" width="5.140625" style="1" customWidth="1"/>
    <col min="2" max="2" width="19.8515625" style="1" customWidth="1"/>
    <col min="3" max="3" width="11.8515625" style="1" customWidth="1"/>
    <col min="4" max="5" width="9.140625" style="1" customWidth="1"/>
    <col min="6" max="6" width="9.140625" style="6" customWidth="1"/>
    <col min="7" max="18" width="9.140625" style="1" customWidth="1"/>
    <col min="19" max="28" width="9.00390625" style="14" customWidth="1"/>
    <col min="29" max="16384" width="9.00390625" style="1" customWidth="1"/>
  </cols>
  <sheetData>
    <row r="1" spans="1:20" ht="28.5" customHeight="1" thickBo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31"/>
      <c r="T1" s="31"/>
    </row>
    <row r="2" spans="1:20" ht="184.5" thickBot="1">
      <c r="A2" s="85" t="s">
        <v>54</v>
      </c>
      <c r="B2" s="42" t="s">
        <v>55</v>
      </c>
      <c r="C2" s="69" t="s">
        <v>0</v>
      </c>
      <c r="D2" s="65" t="s">
        <v>66</v>
      </c>
      <c r="E2" s="44" t="s">
        <v>67</v>
      </c>
      <c r="F2" s="65" t="s">
        <v>94</v>
      </c>
      <c r="G2" s="65" t="s">
        <v>95</v>
      </c>
      <c r="H2" s="65" t="s">
        <v>119</v>
      </c>
      <c r="I2" s="65" t="s">
        <v>120</v>
      </c>
      <c r="J2" s="65" t="s">
        <v>121</v>
      </c>
      <c r="K2" s="65" t="s">
        <v>122</v>
      </c>
      <c r="L2" s="44" t="s">
        <v>125</v>
      </c>
      <c r="M2" s="44" t="s">
        <v>124</v>
      </c>
      <c r="N2" s="44" t="s">
        <v>142</v>
      </c>
      <c r="O2" s="44" t="s">
        <v>143</v>
      </c>
      <c r="P2" s="44" t="s">
        <v>159</v>
      </c>
      <c r="Q2" s="44" t="s">
        <v>158</v>
      </c>
      <c r="R2" s="55" t="s">
        <v>1</v>
      </c>
      <c r="S2" s="29"/>
      <c r="T2" s="29"/>
    </row>
    <row r="3" spans="1:18" ht="14.25">
      <c r="A3" s="86" t="s">
        <v>56</v>
      </c>
      <c r="B3" s="70" t="s">
        <v>82</v>
      </c>
      <c r="C3" s="71" t="s">
        <v>83</v>
      </c>
      <c r="D3" s="13">
        <f>100-(44.95-44.95)/44.95*50</f>
        <v>100</v>
      </c>
      <c r="E3" s="13">
        <f>100-(69.25-69.25)/69.25*50</f>
        <v>100</v>
      </c>
      <c r="F3" s="125">
        <f>100-(40.58-24.13)/24.13*50</f>
        <v>65.91380024865313</v>
      </c>
      <c r="G3" s="13">
        <f>100-(54.43-39.42)/39.42*50</f>
        <v>80.96144089294775</v>
      </c>
      <c r="H3" s="13"/>
      <c r="I3" s="13"/>
      <c r="J3" s="13">
        <f>100-(58.25-45.12)/45.12*50</f>
        <v>85.44991134751773</v>
      </c>
      <c r="K3" s="13">
        <f>100-(67.63-47.57)/47.57*50</f>
        <v>78.91528274122346</v>
      </c>
      <c r="L3" s="13">
        <f>100-(86.3-86.3)/86.3*50</f>
        <v>100</v>
      </c>
      <c r="M3" s="13">
        <f>100-(35.05-35.05)/35.05*50</f>
        <v>100</v>
      </c>
      <c r="N3" s="125">
        <f>100-(34.85-24.02)/24.02*50</f>
        <v>77.45628642797668</v>
      </c>
      <c r="O3" s="13"/>
      <c r="P3" s="13"/>
      <c r="Q3" s="52"/>
      <c r="R3" s="56">
        <f>SUM(D3:Q3)-(F3+N3)</f>
        <v>645.326634981689</v>
      </c>
    </row>
    <row r="4" spans="1:18" ht="14.25">
      <c r="A4" s="87" t="s">
        <v>57</v>
      </c>
      <c r="B4" s="72" t="s">
        <v>85</v>
      </c>
      <c r="C4" s="73" t="s">
        <v>33</v>
      </c>
      <c r="D4" s="13">
        <f>100-(46.28-44.95)/44.95*50</f>
        <v>98.52057842046719</v>
      </c>
      <c r="E4" s="13">
        <f>100-(91.83-69.25)/69.25*50</f>
        <v>83.69675090252707</v>
      </c>
      <c r="F4" s="128">
        <f>100-(52.02-24.13)/24.13*50</f>
        <v>42.20886862826356</v>
      </c>
      <c r="G4" s="128">
        <f>100-(89.27-39.42)/39.42*50</f>
        <v>36.770674784373426</v>
      </c>
      <c r="H4" s="2"/>
      <c r="I4" s="2"/>
      <c r="J4" s="113" t="s">
        <v>52</v>
      </c>
      <c r="K4" s="13">
        <f>100-(69.85-47.57)/47.57*50</f>
        <v>76.5818793357158</v>
      </c>
      <c r="L4" s="13">
        <f>100-(121.12-86.3)/86.3*50</f>
        <v>79.82618771726536</v>
      </c>
      <c r="M4" s="13">
        <f>100-(47.88-35.05)/35.05*50</f>
        <v>81.69757489300997</v>
      </c>
      <c r="N4" s="13">
        <f>100-(41.12-24.02)/24.02*50</f>
        <v>64.40466278101582</v>
      </c>
      <c r="O4" s="13">
        <f>100-(108.25-74.35)/74.35*50</f>
        <v>77.20242098184264</v>
      </c>
      <c r="P4" s="2"/>
      <c r="Q4" s="48"/>
      <c r="R4" s="57">
        <f>SUM(D4:Q4)-(F4+G4)</f>
        <v>561.930055031844</v>
      </c>
    </row>
    <row r="5" spans="1:18" ht="14.25">
      <c r="A5" s="87" t="s">
        <v>58</v>
      </c>
      <c r="B5" s="72" t="s">
        <v>84</v>
      </c>
      <c r="C5" s="73" t="s">
        <v>2</v>
      </c>
      <c r="D5" s="13">
        <f>100-(45.27-44.95)/44.95*50</f>
        <v>99.6440489432703</v>
      </c>
      <c r="E5" s="13">
        <f>100-(72.45-69.25)/69.25*50</f>
        <v>97.68953068592057</v>
      </c>
      <c r="F5" s="12"/>
      <c r="G5" s="11"/>
      <c r="H5" s="2"/>
      <c r="I5" s="2"/>
      <c r="J5" s="2"/>
      <c r="K5" s="2"/>
      <c r="L5" s="13">
        <f>100-(142.37-86.3)/86.3*50</f>
        <v>67.51448435689454</v>
      </c>
      <c r="M5" s="13">
        <f>100-(45.48-35.05)/35.05*50</f>
        <v>85.12125534950071</v>
      </c>
      <c r="N5" s="8"/>
      <c r="O5" s="13">
        <f>100-(101.43-74.35)/74.35*50</f>
        <v>81.78883658372561</v>
      </c>
      <c r="P5" s="2"/>
      <c r="Q5" s="48"/>
      <c r="R5" s="57">
        <f>SUM(D5:Q5)</f>
        <v>431.7581559193118</v>
      </c>
    </row>
    <row r="6" spans="1:18" ht="14.25">
      <c r="A6" s="87"/>
      <c r="B6" s="72"/>
      <c r="C6" s="73"/>
      <c r="D6" s="30"/>
      <c r="E6" s="2"/>
      <c r="F6" s="3"/>
      <c r="G6" s="2"/>
      <c r="H6" s="2"/>
      <c r="I6" s="2"/>
      <c r="J6" s="2"/>
      <c r="K6" s="2"/>
      <c r="L6" s="8"/>
      <c r="M6" s="8"/>
      <c r="N6" s="2"/>
      <c r="O6" s="2"/>
      <c r="P6" s="2"/>
      <c r="Q6" s="48"/>
      <c r="R6" s="57">
        <f aca="true" t="shared" si="0" ref="R6:R11">SUM(D6:Q6)</f>
        <v>0</v>
      </c>
    </row>
    <row r="7" spans="1:18" ht="14.25">
      <c r="A7" s="87"/>
      <c r="B7" s="72"/>
      <c r="C7" s="73"/>
      <c r="D7" s="30"/>
      <c r="E7" s="2"/>
      <c r="F7" s="3"/>
      <c r="G7" s="2"/>
      <c r="H7" s="2"/>
      <c r="I7" s="2"/>
      <c r="J7" s="2"/>
      <c r="K7" s="2"/>
      <c r="L7" s="2"/>
      <c r="M7" s="2"/>
      <c r="N7" s="8"/>
      <c r="O7" s="8"/>
      <c r="P7" s="2"/>
      <c r="Q7" s="48"/>
      <c r="R7" s="57">
        <f t="shared" si="0"/>
        <v>0</v>
      </c>
    </row>
    <row r="8" spans="1:18" ht="14.25">
      <c r="A8" s="87"/>
      <c r="B8" s="72"/>
      <c r="C8" s="73"/>
      <c r="D8" s="30"/>
      <c r="E8" s="2"/>
      <c r="F8" s="3"/>
      <c r="G8" s="2"/>
      <c r="H8" s="2"/>
      <c r="I8" s="2"/>
      <c r="J8" s="2"/>
      <c r="K8" s="2"/>
      <c r="L8" s="8"/>
      <c r="M8" s="2"/>
      <c r="N8" s="2"/>
      <c r="O8" s="2"/>
      <c r="P8" s="2"/>
      <c r="Q8" s="48"/>
      <c r="R8" s="57">
        <f t="shared" si="0"/>
        <v>0</v>
      </c>
    </row>
    <row r="9" spans="1:18" ht="14.25">
      <c r="A9" s="87"/>
      <c r="B9" s="72"/>
      <c r="C9" s="73"/>
      <c r="D9" s="30"/>
      <c r="E9" s="2"/>
      <c r="F9" s="3"/>
      <c r="G9" s="2"/>
      <c r="H9" s="2"/>
      <c r="I9" s="2"/>
      <c r="J9" s="2"/>
      <c r="K9" s="2"/>
      <c r="L9" s="2"/>
      <c r="M9" s="8"/>
      <c r="N9" s="2"/>
      <c r="O9" s="2"/>
      <c r="P9" s="2"/>
      <c r="Q9" s="48"/>
      <c r="R9" s="57">
        <f t="shared" si="0"/>
        <v>0</v>
      </c>
    </row>
    <row r="10" spans="1:18" ht="14.25">
      <c r="A10" s="87"/>
      <c r="B10" s="72"/>
      <c r="C10" s="73"/>
      <c r="D10" s="30"/>
      <c r="E10" s="8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47"/>
      <c r="R10" s="57">
        <f t="shared" si="0"/>
        <v>0</v>
      </c>
    </row>
    <row r="11" spans="1:18" ht="15" thickBot="1">
      <c r="A11" s="88"/>
      <c r="B11" s="74"/>
      <c r="C11" s="75"/>
      <c r="D11" s="60"/>
      <c r="E11" s="35"/>
      <c r="F11" s="50"/>
      <c r="G11" s="35"/>
      <c r="H11" s="35"/>
      <c r="I11" s="35"/>
      <c r="J11" s="35"/>
      <c r="K11" s="35"/>
      <c r="L11" s="35"/>
      <c r="M11" s="37"/>
      <c r="N11" s="35"/>
      <c r="O11" s="35"/>
      <c r="P11" s="35"/>
      <c r="Q11" s="89"/>
      <c r="R11" s="58">
        <f t="shared" si="0"/>
        <v>0</v>
      </c>
    </row>
    <row r="12" spans="1:18" ht="14.25">
      <c r="A12" s="14"/>
      <c r="B12" s="14"/>
      <c r="C12" s="14"/>
      <c r="D12" s="14"/>
      <c r="E12" s="14"/>
      <c r="F12" s="19"/>
      <c r="G12" s="14"/>
      <c r="H12" s="14"/>
      <c r="I12" s="14"/>
      <c r="J12" s="14"/>
      <c r="K12" s="14"/>
      <c r="L12" s="14"/>
      <c r="M12" s="95"/>
      <c r="N12" s="14"/>
      <c r="O12" s="14"/>
      <c r="P12" s="14"/>
      <c r="Q12" s="14"/>
      <c r="R12" s="18"/>
    </row>
    <row r="13" spans="1:18" ht="14.25">
      <c r="A13" s="14"/>
      <c r="B13" s="14"/>
      <c r="C13" s="14"/>
      <c r="D13" s="14"/>
      <c r="E13" s="14"/>
      <c r="F13" s="19"/>
      <c r="G13" s="14"/>
      <c r="H13" s="14"/>
      <c r="I13" s="14"/>
      <c r="J13" s="14"/>
      <c r="K13" s="14"/>
      <c r="L13" s="14"/>
      <c r="M13" s="14"/>
      <c r="N13" s="15"/>
      <c r="O13" s="15"/>
      <c r="P13" s="14"/>
      <c r="Q13" s="14"/>
      <c r="R13" s="18"/>
    </row>
    <row r="14" spans="1:18" ht="14.25">
      <c r="A14" s="14"/>
      <c r="B14" s="14"/>
      <c r="C14" s="14"/>
      <c r="D14" s="14"/>
      <c r="E14" s="14"/>
      <c r="F14" s="1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="28" customFormat="1" ht="14.25">
      <c r="A15" s="28" t="s">
        <v>43</v>
      </c>
    </row>
    <row r="16" s="27" customFormat="1" ht="14.25">
      <c r="A16" s="27" t="s">
        <v>53</v>
      </c>
    </row>
  </sheetData>
  <sheetProtection/>
  <autoFilter ref="B2:R2">
    <sortState ref="B3:R16">
      <sortCondition descending="1" sortBy="value" ref="Q3:Q16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.00390625" style="1" customWidth="1"/>
    <col min="2" max="2" width="20.7109375" style="1" customWidth="1"/>
    <col min="3" max="3" width="14.57421875" style="1" customWidth="1"/>
    <col min="4" max="18" width="9.140625" style="1" customWidth="1"/>
    <col min="19" max="21" width="9.00390625" style="14" customWidth="1"/>
    <col min="22" max="16384" width="9.00390625" style="1" customWidth="1"/>
  </cols>
  <sheetData>
    <row r="1" spans="1:20" ht="30" customHeight="1" thickBo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31"/>
      <c r="T1" s="31"/>
    </row>
    <row r="2" spans="1:20" ht="184.5" thickBot="1">
      <c r="A2" s="42" t="s">
        <v>54</v>
      </c>
      <c r="B2" s="43" t="s">
        <v>55</v>
      </c>
      <c r="C2" s="43" t="s">
        <v>0</v>
      </c>
      <c r="D2" s="65" t="s">
        <v>66</v>
      </c>
      <c r="E2" s="44" t="s">
        <v>67</v>
      </c>
      <c r="F2" s="65" t="s">
        <v>94</v>
      </c>
      <c r="G2" s="65" t="s">
        <v>95</v>
      </c>
      <c r="H2" s="65" t="s">
        <v>119</v>
      </c>
      <c r="I2" s="65" t="s">
        <v>120</v>
      </c>
      <c r="J2" s="65" t="s">
        <v>121</v>
      </c>
      <c r="K2" s="65" t="s">
        <v>122</v>
      </c>
      <c r="L2" s="44" t="s">
        <v>125</v>
      </c>
      <c r="M2" s="44" t="s">
        <v>124</v>
      </c>
      <c r="N2" s="44" t="s">
        <v>142</v>
      </c>
      <c r="O2" s="44" t="s">
        <v>143</v>
      </c>
      <c r="P2" s="44" t="s">
        <v>159</v>
      </c>
      <c r="Q2" s="44" t="s">
        <v>158</v>
      </c>
      <c r="R2" s="45" t="s">
        <v>1</v>
      </c>
      <c r="S2" s="29"/>
      <c r="T2" s="29"/>
    </row>
    <row r="3" spans="1:18" ht="14.25">
      <c r="A3" s="107" t="s">
        <v>56</v>
      </c>
      <c r="B3" s="108" t="s">
        <v>10</v>
      </c>
      <c r="C3" s="108" t="s">
        <v>2</v>
      </c>
      <c r="D3" s="101"/>
      <c r="E3" s="101">
        <f>100-(118.98-118.98)/118.98*50</f>
        <v>100</v>
      </c>
      <c r="F3" s="101">
        <f>100-(56.2-56.2)/56.2*50</f>
        <v>100</v>
      </c>
      <c r="G3" s="101">
        <f>100-(120.95-120.95)/120.95*50</f>
        <v>100</v>
      </c>
      <c r="H3" s="101"/>
      <c r="I3" s="101"/>
      <c r="J3" s="101">
        <f>100-(56.22-56.22)/56.22*50</f>
        <v>100</v>
      </c>
      <c r="K3" s="101">
        <f>100-(86.08-86.08)/86.08*50</f>
        <v>100</v>
      </c>
      <c r="L3" s="101">
        <f>100-(64.9-64.9)/64.9*50</f>
        <v>100</v>
      </c>
      <c r="M3" s="126">
        <f>100-(29.15-28.42)/28.42*50</f>
        <v>98.71569317382126</v>
      </c>
      <c r="N3" s="126">
        <f>100-(34.68-34.33)/34.33*50</f>
        <v>99.49024177104573</v>
      </c>
      <c r="O3" s="126">
        <f>100-(112.48-111.37)/111.37*50</f>
        <v>99.5016611295681</v>
      </c>
      <c r="P3" s="101">
        <f>100-(63.68-63.68)/63.68*50</f>
        <v>100</v>
      </c>
      <c r="Q3" s="126">
        <f>100-(62-62)/62*50</f>
        <v>100</v>
      </c>
      <c r="R3" s="109">
        <f>SUM(D3:Q3)-M3-N3-O3-Q3</f>
        <v>700</v>
      </c>
    </row>
    <row r="4" spans="1:18" ht="14.25">
      <c r="A4" s="32" t="s">
        <v>57</v>
      </c>
      <c r="B4" s="2" t="s">
        <v>37</v>
      </c>
      <c r="C4" s="2" t="s">
        <v>2</v>
      </c>
      <c r="D4" s="46" t="s">
        <v>52</v>
      </c>
      <c r="E4" s="125">
        <f>100-(164.63-118.98)/118.98*50</f>
        <v>80.81610354681459</v>
      </c>
      <c r="F4" s="8">
        <f>100-(62.37-56.2)/56.2*50</f>
        <v>94.51067615658363</v>
      </c>
      <c r="G4" s="8">
        <f>100-(130.18-120.95)/120.95*50</f>
        <v>96.18437370814387</v>
      </c>
      <c r="H4" s="2"/>
      <c r="I4" s="2"/>
      <c r="J4" s="13">
        <f>100-(70.62-56.22)/56.22*50</f>
        <v>87.19316969050159</v>
      </c>
      <c r="K4" s="8">
        <f>100-(107-86.08)/86.08*50</f>
        <v>87.84851301115242</v>
      </c>
      <c r="L4" s="128">
        <f>100-(92.95-64.9)/64.9*50</f>
        <v>78.38983050847457</v>
      </c>
      <c r="M4" s="8">
        <f>100-(33.65-28.42)/28.42*50</f>
        <v>90.79873328641803</v>
      </c>
      <c r="N4" s="2"/>
      <c r="O4" s="2"/>
      <c r="P4" s="8">
        <f>100-(76.52-63.68)/63.68*50</f>
        <v>89.91834170854271</v>
      </c>
      <c r="Q4" s="13">
        <f>100-(73.73-62)/62*50</f>
        <v>90.54032258064515</v>
      </c>
      <c r="R4" s="33">
        <f>SUM(D4:Q4)-E4-L4</f>
        <v>636.9941301419874</v>
      </c>
    </row>
    <row r="5" spans="1:18" ht="14.25">
      <c r="A5" s="32" t="s">
        <v>58</v>
      </c>
      <c r="B5" s="2" t="s">
        <v>92</v>
      </c>
      <c r="C5" s="2" t="s">
        <v>2</v>
      </c>
      <c r="D5" s="46" t="s">
        <v>52</v>
      </c>
      <c r="E5" s="13">
        <f>100-(144.12-118.98)/118.98*50</f>
        <v>89.4351991931417</v>
      </c>
      <c r="F5" s="8">
        <f>100-(67.13-56.2)/56.2*50</f>
        <v>90.27580071174378</v>
      </c>
      <c r="G5" s="8">
        <f>100-(136.22-120.95)/120.95*50</f>
        <v>93.68747416287722</v>
      </c>
      <c r="H5" s="2"/>
      <c r="I5" s="2"/>
      <c r="J5" s="13">
        <f>100-(68.27-56.22)/56.22*50</f>
        <v>89.28317324795447</v>
      </c>
      <c r="K5" s="13">
        <f>100-(107.07-86.08)/86.08*50</f>
        <v>87.8078531598513</v>
      </c>
      <c r="L5" s="13"/>
      <c r="M5" s="13"/>
      <c r="N5" s="128">
        <f>100-(46.1-34.33)/34.33*50</f>
        <v>82.85755898630934</v>
      </c>
      <c r="O5" s="8">
        <f>100-(149.08-111.37)/111.37*50</f>
        <v>83.06994702343539</v>
      </c>
      <c r="P5" s="8">
        <f>100-(74.6-63.68)/63.68*50</f>
        <v>91.42587939698493</v>
      </c>
      <c r="Q5" s="10" t="s">
        <v>52</v>
      </c>
      <c r="R5" s="33">
        <f>SUM(D5:Q5)-N5</f>
        <v>624.9853268959888</v>
      </c>
    </row>
    <row r="6" spans="1:18" ht="14.25">
      <c r="A6" s="32" t="s">
        <v>59</v>
      </c>
      <c r="B6" s="2" t="s">
        <v>126</v>
      </c>
      <c r="C6" s="2" t="s">
        <v>11</v>
      </c>
      <c r="D6" s="2"/>
      <c r="E6" s="11"/>
      <c r="F6" s="2"/>
      <c r="G6" s="2"/>
      <c r="H6" s="2"/>
      <c r="I6" s="2"/>
      <c r="J6" s="11"/>
      <c r="K6" s="2"/>
      <c r="L6" s="8">
        <f>100-(78.67-64.9)/64.9*50</f>
        <v>89.39137134052389</v>
      </c>
      <c r="M6" s="8">
        <f>100-(28.42-28.42)/28.42*50</f>
        <v>100</v>
      </c>
      <c r="N6" s="8">
        <f>100-(34.33-34.33)/34.33*50</f>
        <v>100</v>
      </c>
      <c r="O6" s="8">
        <f>100-(111.37-111.37)/111.37*50</f>
        <v>100</v>
      </c>
      <c r="P6" s="2"/>
      <c r="Q6" s="8">
        <f>100-(73.07-62)/62*50</f>
        <v>91.0725806451613</v>
      </c>
      <c r="R6" s="33">
        <f>SUM(D6:Q6)</f>
        <v>480.4639519856852</v>
      </c>
    </row>
    <row r="7" spans="1:18" ht="14.25">
      <c r="A7" s="32" t="s">
        <v>60</v>
      </c>
      <c r="B7" s="2" t="s">
        <v>47</v>
      </c>
      <c r="C7" s="2" t="s">
        <v>7</v>
      </c>
      <c r="D7" s="46" t="s">
        <v>52</v>
      </c>
      <c r="E7" s="13">
        <f>100-(206.4-118.98)/118.98*50</f>
        <v>63.26273323247605</v>
      </c>
      <c r="F7" s="2"/>
      <c r="G7" s="2"/>
      <c r="H7" s="2"/>
      <c r="I7" s="2"/>
      <c r="J7" s="2"/>
      <c r="K7" s="2"/>
      <c r="L7" s="13">
        <f>100-(116.53-64.9)/64.9*50</f>
        <v>60.22342064714947</v>
      </c>
      <c r="M7" s="13">
        <f>100-(51.9-28.42)/28.42*50</f>
        <v>58.691062631949336</v>
      </c>
      <c r="N7" s="2"/>
      <c r="O7" s="2"/>
      <c r="P7" s="8">
        <f>100-(98.13-63.68)/63.68*50</f>
        <v>72.95069095477388</v>
      </c>
      <c r="Q7" s="8">
        <f>100-(93.13-62)/62*50</f>
        <v>74.89516129032258</v>
      </c>
      <c r="R7" s="33">
        <f>SUM(D7:Q7)</f>
        <v>330.0230687566713</v>
      </c>
    </row>
    <row r="8" spans="1:18" ht="14.25">
      <c r="A8" s="32" t="s">
        <v>61</v>
      </c>
      <c r="B8" s="2" t="s">
        <v>108</v>
      </c>
      <c r="C8" s="2" t="s">
        <v>2</v>
      </c>
      <c r="D8" s="2"/>
      <c r="E8" s="2"/>
      <c r="F8" s="2"/>
      <c r="G8" s="2"/>
      <c r="H8" s="2"/>
      <c r="I8" s="2"/>
      <c r="J8" s="2"/>
      <c r="K8" s="2"/>
      <c r="L8" s="13">
        <f>100-(86.45-64.9)/64.9*50</f>
        <v>83.39753466872111</v>
      </c>
      <c r="M8" s="13">
        <f>100-(34.05-28.42)/28.42*50</f>
        <v>90.09500351864885</v>
      </c>
      <c r="N8" s="2"/>
      <c r="O8" s="2"/>
      <c r="P8" s="2"/>
      <c r="Q8" s="2"/>
      <c r="R8" s="33">
        <f>SUM(D8:Q8)</f>
        <v>173.49253818736997</v>
      </c>
    </row>
    <row r="9" spans="1:18" ht="14.25">
      <c r="A9" s="32" t="s">
        <v>62</v>
      </c>
      <c r="B9" s="2" t="s">
        <v>77</v>
      </c>
      <c r="C9" s="2" t="s">
        <v>4</v>
      </c>
      <c r="D9" s="2"/>
      <c r="E9" s="2"/>
      <c r="F9" s="2"/>
      <c r="G9" s="2"/>
      <c r="H9" s="2"/>
      <c r="I9" s="2"/>
      <c r="J9" s="2"/>
      <c r="K9" s="2"/>
      <c r="L9" s="13">
        <f>100-(94.35-64.9)/64.9*50</f>
        <v>77.31124807395994</v>
      </c>
      <c r="M9" s="13">
        <f>100-(38.7-28.42)/28.42*50</f>
        <v>81.91414496833215</v>
      </c>
      <c r="N9" s="2"/>
      <c r="O9" s="2"/>
      <c r="P9" s="8"/>
      <c r="Q9" s="8"/>
      <c r="R9" s="33">
        <f>SUM(D9:Q9)</f>
        <v>159.2253930422921</v>
      </c>
    </row>
    <row r="10" spans="1:18" ht="14.25">
      <c r="A10" s="32" t="s">
        <v>63</v>
      </c>
      <c r="B10" s="2" t="s">
        <v>39</v>
      </c>
      <c r="C10" s="2" t="s">
        <v>7</v>
      </c>
      <c r="D10" s="2"/>
      <c r="E10" s="2"/>
      <c r="F10" s="2"/>
      <c r="G10" s="2"/>
      <c r="H10" s="2"/>
      <c r="I10" s="2"/>
      <c r="J10" s="8"/>
      <c r="K10" s="2"/>
      <c r="L10" s="13">
        <f>100-(113.27-64.9)/64.9*50</f>
        <v>62.734976887519274</v>
      </c>
      <c r="M10" s="13">
        <f>100-(42.67-28.42)/28.42*50</f>
        <v>74.92962702322308</v>
      </c>
      <c r="N10" s="2"/>
      <c r="O10" s="2"/>
      <c r="P10" s="2"/>
      <c r="Q10" s="2"/>
      <c r="R10" s="33">
        <f>SUM(D10:Q10)</f>
        <v>137.66460391074236</v>
      </c>
    </row>
    <row r="11" spans="1:18" ht="14.25">
      <c r="A11" s="32" t="s">
        <v>64</v>
      </c>
      <c r="B11" s="2" t="s">
        <v>50</v>
      </c>
      <c r="C11" s="2" t="s">
        <v>7</v>
      </c>
      <c r="D11" s="2"/>
      <c r="E11" s="8">
        <f>100-(170.33-118.98)/118.98*50</f>
        <v>78.42074298201378</v>
      </c>
      <c r="F11" s="2"/>
      <c r="G11" s="2"/>
      <c r="H11" s="2"/>
      <c r="I11" s="2"/>
      <c r="J11" s="8">
        <f>100-(103.08-56.22)/56.22*50</f>
        <v>58.32443970117396</v>
      </c>
      <c r="K11" s="2"/>
      <c r="L11" s="13"/>
      <c r="M11" s="124"/>
      <c r="N11" s="8"/>
      <c r="O11" s="8"/>
      <c r="P11" s="2"/>
      <c r="Q11" s="8"/>
      <c r="R11" s="33">
        <f>SUM(D11:Q11)</f>
        <v>136.74518268318775</v>
      </c>
    </row>
    <row r="12" spans="1:18" ht="14.25">
      <c r="A12" s="32" t="s">
        <v>65</v>
      </c>
      <c r="B12" s="2" t="s">
        <v>151</v>
      </c>
      <c r="C12" s="2" t="s">
        <v>149</v>
      </c>
      <c r="D12" s="2"/>
      <c r="E12" s="2"/>
      <c r="F12" s="2"/>
      <c r="G12" s="2"/>
      <c r="H12" s="2"/>
      <c r="I12" s="2"/>
      <c r="J12" s="2"/>
      <c r="K12" s="2"/>
      <c r="L12" s="8"/>
      <c r="M12" s="46"/>
      <c r="N12" s="2"/>
      <c r="O12" s="2"/>
      <c r="P12" s="8">
        <f>100-(96.52-63.68)/63.68*50</f>
        <v>74.21482412060303</v>
      </c>
      <c r="Q12" s="8">
        <f>100-(121.4-62)/62*50</f>
        <v>52.096774193548384</v>
      </c>
      <c r="R12" s="33">
        <f>SUM(D12:Q12)</f>
        <v>126.31159831415141</v>
      </c>
    </row>
    <row r="13" spans="1:18" ht="15" thickBot="1">
      <c r="A13" s="34" t="s">
        <v>81</v>
      </c>
      <c r="B13" s="60" t="s">
        <v>134</v>
      </c>
      <c r="C13" s="89" t="s">
        <v>9</v>
      </c>
      <c r="D13" s="35"/>
      <c r="E13" s="35"/>
      <c r="F13" s="35"/>
      <c r="G13" s="35"/>
      <c r="H13" s="35"/>
      <c r="I13" s="35"/>
      <c r="J13" s="35"/>
      <c r="K13" s="35"/>
      <c r="L13" s="36"/>
      <c r="M13" s="36">
        <f>100-(60.12-28.42)/28.42*50</f>
        <v>44.22941590429276</v>
      </c>
      <c r="N13" s="35"/>
      <c r="O13" s="35"/>
      <c r="P13" s="36"/>
      <c r="Q13" s="36"/>
      <c r="R13" s="38">
        <f>SUM(D13:Q13)</f>
        <v>44.22941590429276</v>
      </c>
    </row>
    <row r="14" spans="1:21" s="20" customFormat="1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22"/>
      <c r="N14" s="14"/>
      <c r="O14" s="14"/>
      <c r="P14" s="14"/>
      <c r="Q14" s="14"/>
      <c r="R14" s="18"/>
      <c r="S14" s="14"/>
      <c r="T14" s="14"/>
      <c r="U14" s="14"/>
    </row>
    <row r="15" spans="12:21" s="21" customFormat="1" ht="14.25">
      <c r="L15" s="23"/>
      <c r="M15" s="24"/>
      <c r="N15" s="23"/>
      <c r="O15" s="23"/>
      <c r="R15" s="25"/>
      <c r="S15" s="14"/>
      <c r="T15" s="14"/>
      <c r="U15" s="14"/>
    </row>
    <row r="16" s="14" customFormat="1" ht="14.25">
      <c r="R16" s="15"/>
    </row>
    <row r="17" s="28" customFormat="1" ht="14.25">
      <c r="A17" s="28" t="s">
        <v>43</v>
      </c>
    </row>
    <row r="18" s="27" customFormat="1" ht="14.25">
      <c r="A18" s="27" t="s">
        <v>53</v>
      </c>
    </row>
  </sheetData>
  <sheetProtection/>
  <autoFilter ref="B2:R2">
    <sortState ref="B3:R18">
      <sortCondition descending="1" sortBy="value" ref="Q3:Q18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5"/>
  <sheetViews>
    <sheetView workbookViewId="0" topLeftCell="A1">
      <selection activeCell="A4" sqref="A4:A9"/>
    </sheetView>
  </sheetViews>
  <sheetFormatPr defaultColWidth="9.140625" defaultRowHeight="15"/>
  <cols>
    <col min="1" max="1" width="5.140625" style="1" customWidth="1"/>
    <col min="2" max="2" width="20.8515625" style="1" customWidth="1"/>
    <col min="3" max="3" width="9.00390625" style="1" customWidth="1"/>
    <col min="4" max="7" width="9.140625" style="6" customWidth="1"/>
    <col min="8" max="18" width="9.140625" style="1" customWidth="1"/>
    <col min="19" max="28" width="9.00390625" style="14" customWidth="1"/>
    <col min="29" max="16384" width="9.00390625" style="1" customWidth="1"/>
  </cols>
  <sheetData>
    <row r="1" spans="1:20" ht="28.5" customHeight="1" thickBo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81"/>
      <c r="T1" s="81"/>
    </row>
    <row r="2" spans="1:20" ht="184.5" thickBot="1">
      <c r="A2" s="61" t="s">
        <v>54</v>
      </c>
      <c r="B2" s="42" t="s">
        <v>55</v>
      </c>
      <c r="C2" s="69" t="s">
        <v>0</v>
      </c>
      <c r="D2" s="65" t="s">
        <v>66</v>
      </c>
      <c r="E2" s="44" t="s">
        <v>67</v>
      </c>
      <c r="F2" s="65" t="s">
        <v>94</v>
      </c>
      <c r="G2" s="65" t="s">
        <v>95</v>
      </c>
      <c r="H2" s="65" t="s">
        <v>119</v>
      </c>
      <c r="I2" s="65" t="s">
        <v>120</v>
      </c>
      <c r="J2" s="65" t="s">
        <v>121</v>
      </c>
      <c r="K2" s="65" t="s">
        <v>122</v>
      </c>
      <c r="L2" s="44" t="s">
        <v>125</v>
      </c>
      <c r="M2" s="44" t="s">
        <v>124</v>
      </c>
      <c r="N2" s="44" t="s">
        <v>142</v>
      </c>
      <c r="O2" s="44" t="s">
        <v>143</v>
      </c>
      <c r="P2" s="44" t="s">
        <v>159</v>
      </c>
      <c r="Q2" s="44" t="s">
        <v>158</v>
      </c>
      <c r="R2" s="55" t="s">
        <v>1</v>
      </c>
      <c r="S2" s="29"/>
      <c r="T2" s="29"/>
    </row>
    <row r="3" spans="1:18" ht="14.25">
      <c r="A3" s="62" t="s">
        <v>56</v>
      </c>
      <c r="B3" s="70" t="s">
        <v>161</v>
      </c>
      <c r="C3" s="71" t="s">
        <v>7</v>
      </c>
      <c r="D3" s="66"/>
      <c r="E3" s="12"/>
      <c r="F3" s="12"/>
      <c r="G3" s="12"/>
      <c r="H3" s="11"/>
      <c r="I3" s="11"/>
      <c r="J3" s="11"/>
      <c r="K3" s="11"/>
      <c r="L3" s="13"/>
      <c r="M3" s="30"/>
      <c r="N3" s="108"/>
      <c r="O3" s="108"/>
      <c r="P3" s="13">
        <f>100-(46.55-46.28)/46.28*50</f>
        <v>99.70829732065688</v>
      </c>
      <c r="Q3" s="52">
        <f>100-(53.95-53.95)/53.95*50</f>
        <v>100</v>
      </c>
      <c r="R3" s="56">
        <f>SUM(D3:Q3)</f>
        <v>199.70829732065687</v>
      </c>
    </row>
    <row r="4" spans="1:18" ht="14.25">
      <c r="A4" s="63" t="s">
        <v>57</v>
      </c>
      <c r="B4" s="72" t="s">
        <v>148</v>
      </c>
      <c r="C4" s="73" t="s">
        <v>149</v>
      </c>
      <c r="D4" s="67"/>
      <c r="E4" s="3"/>
      <c r="F4" s="3"/>
      <c r="G4" s="3"/>
      <c r="H4" s="2"/>
      <c r="I4" s="2"/>
      <c r="J4" s="2"/>
      <c r="K4" s="2"/>
      <c r="L4" s="8"/>
      <c r="M4" s="8"/>
      <c r="N4" s="116">
        <f>100-(26.15-25.18)/25.18*50</f>
        <v>98.07386814932487</v>
      </c>
      <c r="O4" s="13">
        <f>100-(42.11-39.06)/39.06*50</f>
        <v>96.09575012800819</v>
      </c>
      <c r="P4" s="8"/>
      <c r="Q4" s="47"/>
      <c r="R4" s="57">
        <f>SUM(D4:Q4)</f>
        <v>194.16961827733306</v>
      </c>
    </row>
    <row r="5" spans="1:18" ht="14.25">
      <c r="A5" s="63" t="s">
        <v>58</v>
      </c>
      <c r="B5" s="72" t="s">
        <v>162</v>
      </c>
      <c r="C5" s="73" t="s">
        <v>7</v>
      </c>
      <c r="D5" s="67"/>
      <c r="E5" s="3"/>
      <c r="F5" s="3"/>
      <c r="G5" s="3"/>
      <c r="H5" s="2"/>
      <c r="I5" s="2"/>
      <c r="J5" s="2"/>
      <c r="K5" s="2"/>
      <c r="L5" s="2"/>
      <c r="M5" s="2"/>
      <c r="N5" s="2"/>
      <c r="O5" s="8"/>
      <c r="P5" s="13">
        <f>100-(48.58-46.28)/46.28*50</f>
        <v>97.5151253241141</v>
      </c>
      <c r="Q5" s="47">
        <f>100-(57.65-53.95)/53.95*50</f>
        <v>96.57089898053754</v>
      </c>
      <c r="R5" s="57">
        <f>SUM(D5:Q5)</f>
        <v>194.08602430465163</v>
      </c>
    </row>
    <row r="6" spans="1:18" ht="14.25">
      <c r="A6" s="63" t="s">
        <v>59</v>
      </c>
      <c r="B6" s="72" t="s">
        <v>164</v>
      </c>
      <c r="C6" s="73" t="s">
        <v>7</v>
      </c>
      <c r="D6" s="67"/>
      <c r="E6" s="3"/>
      <c r="F6" s="3"/>
      <c r="G6" s="3"/>
      <c r="H6" s="2"/>
      <c r="I6" s="2"/>
      <c r="J6" s="2"/>
      <c r="K6" s="2"/>
      <c r="L6" s="2"/>
      <c r="M6" s="2"/>
      <c r="N6" s="2"/>
      <c r="O6" s="8"/>
      <c r="P6" s="13">
        <f>100-(51.8-46.28)/46.28*50</f>
        <v>94.03630077787382</v>
      </c>
      <c r="Q6" s="13">
        <f>100-(91.1-53.95)/53.95*50</f>
        <v>65.56997219647823</v>
      </c>
      <c r="R6" s="57">
        <f>SUM(D6:Q6)</f>
        <v>159.60627297435207</v>
      </c>
    </row>
    <row r="7" spans="1:18" ht="14.25">
      <c r="A7" s="63" t="s">
        <v>60</v>
      </c>
      <c r="B7" s="72" t="s">
        <v>141</v>
      </c>
      <c r="C7" s="73" t="s">
        <v>89</v>
      </c>
      <c r="D7" s="67"/>
      <c r="E7" s="3"/>
      <c r="F7" s="3"/>
      <c r="G7" s="3"/>
      <c r="H7" s="2"/>
      <c r="I7" s="2"/>
      <c r="J7" s="2"/>
      <c r="K7" s="2"/>
      <c r="L7" s="8"/>
      <c r="M7" s="10" t="s">
        <v>52</v>
      </c>
      <c r="N7" s="8">
        <f>100-(48.2-25.18)/25.18*50</f>
        <v>54.28911834789515</v>
      </c>
      <c r="O7" s="8">
        <f>100-(51.97-39.06)/39.06*50</f>
        <v>83.4741423451101</v>
      </c>
      <c r="P7" s="13"/>
      <c r="Q7" s="13"/>
      <c r="R7" s="57">
        <f>SUM(D7:Q7)</f>
        <v>137.76326069300524</v>
      </c>
    </row>
    <row r="8" spans="1:18" ht="14.25">
      <c r="A8" s="63" t="s">
        <v>61</v>
      </c>
      <c r="B8" s="72" t="s">
        <v>160</v>
      </c>
      <c r="C8" s="73" t="s">
        <v>7</v>
      </c>
      <c r="D8" s="67"/>
      <c r="E8" s="3"/>
      <c r="F8" s="3"/>
      <c r="G8" s="3"/>
      <c r="H8" s="2"/>
      <c r="I8" s="2"/>
      <c r="J8" s="2"/>
      <c r="K8" s="2"/>
      <c r="L8" s="2"/>
      <c r="M8" s="8"/>
      <c r="N8" s="8"/>
      <c r="O8" s="2"/>
      <c r="P8" s="13">
        <f>100-(46.28-46.28)/46.28*50</f>
        <v>100</v>
      </c>
      <c r="Q8" s="47"/>
      <c r="R8" s="57">
        <f>SUM(D8:Q8)</f>
        <v>100</v>
      </c>
    </row>
    <row r="9" spans="1:18" ht="14.25">
      <c r="A9" s="63" t="s">
        <v>62</v>
      </c>
      <c r="B9" s="72" t="s">
        <v>163</v>
      </c>
      <c r="C9" s="73" t="s">
        <v>7</v>
      </c>
      <c r="D9" s="67"/>
      <c r="E9" s="3"/>
      <c r="F9" s="3"/>
      <c r="G9" s="3"/>
      <c r="H9" s="2"/>
      <c r="I9" s="2"/>
      <c r="J9" s="2"/>
      <c r="K9" s="2"/>
      <c r="L9" s="2"/>
      <c r="M9" s="2"/>
      <c r="N9" s="2"/>
      <c r="O9" s="8"/>
      <c r="P9" s="13">
        <f>100-(49.48-46.28)/46.28*50</f>
        <v>96.542783059637</v>
      </c>
      <c r="Q9" s="13"/>
      <c r="R9" s="57">
        <f>SUM(D9:Q9)</f>
        <v>96.542783059637</v>
      </c>
    </row>
    <row r="10" spans="1:18" ht="15" thickBot="1">
      <c r="A10" s="64"/>
      <c r="B10" s="74"/>
      <c r="C10" s="75"/>
      <c r="D10" s="68"/>
      <c r="E10" s="50"/>
      <c r="F10" s="50"/>
      <c r="G10" s="50"/>
      <c r="H10" s="35"/>
      <c r="I10" s="35"/>
      <c r="J10" s="35"/>
      <c r="K10" s="35"/>
      <c r="L10" s="51"/>
      <c r="M10" s="51"/>
      <c r="N10" s="35"/>
      <c r="O10" s="35"/>
      <c r="P10" s="37"/>
      <c r="Q10" s="54"/>
      <c r="R10" s="58"/>
    </row>
    <row r="11" spans="1:28" s="20" customFormat="1" ht="14.25">
      <c r="A11" s="49"/>
      <c r="B11" s="14"/>
      <c r="C11" s="14"/>
      <c r="D11" s="19"/>
      <c r="E11" s="19"/>
      <c r="F11" s="19"/>
      <c r="G11" s="19"/>
      <c r="H11" s="14"/>
      <c r="I11" s="14"/>
      <c r="J11" s="14"/>
      <c r="K11" s="14"/>
      <c r="L11" s="26"/>
      <c r="M11" s="26"/>
      <c r="N11" s="14"/>
      <c r="O11" s="14"/>
      <c r="P11" s="26"/>
      <c r="Q11" s="26"/>
      <c r="R11" s="18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18" s="14" customFormat="1" ht="14.25">
      <c r="A12" s="49"/>
      <c r="D12" s="19"/>
      <c r="E12" s="19"/>
      <c r="F12" s="19"/>
      <c r="G12" s="19"/>
      <c r="L12" s="26"/>
      <c r="M12" s="26"/>
      <c r="P12" s="26"/>
      <c r="Q12" s="26"/>
      <c r="R12" s="18"/>
    </row>
    <row r="13" spans="4:18" s="14" customFormat="1" ht="14.25">
      <c r="D13" s="19"/>
      <c r="E13" s="19"/>
      <c r="F13" s="19"/>
      <c r="G13" s="19"/>
      <c r="R13" s="15"/>
    </row>
    <row r="14" s="28" customFormat="1" ht="14.25">
      <c r="A14" s="28" t="s">
        <v>43</v>
      </c>
    </row>
    <row r="15" s="27" customFormat="1" ht="14.25">
      <c r="A15" s="27" t="s">
        <v>53</v>
      </c>
    </row>
  </sheetData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P24" sqref="P24"/>
    </sheetView>
  </sheetViews>
  <sheetFormatPr defaultColWidth="9.140625" defaultRowHeight="15"/>
  <cols>
    <col min="1" max="1" width="5.00390625" style="1" customWidth="1"/>
    <col min="2" max="2" width="20.8515625" style="1" customWidth="1"/>
    <col min="3" max="3" width="9.00390625" style="1" customWidth="1"/>
    <col min="4" max="7" width="9.140625" style="6" customWidth="1"/>
    <col min="8" max="18" width="9.140625" style="1" customWidth="1"/>
    <col min="19" max="30" width="9.00390625" style="14" customWidth="1"/>
    <col min="31" max="16384" width="9.00390625" style="1" customWidth="1"/>
  </cols>
  <sheetData>
    <row r="1" spans="1:20" ht="28.5" customHeight="1" thickBo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31"/>
      <c r="T1" s="31"/>
    </row>
    <row r="2" spans="1:20" ht="184.5" thickBot="1">
      <c r="A2" s="61" t="s">
        <v>54</v>
      </c>
      <c r="B2" s="42" t="s">
        <v>55</v>
      </c>
      <c r="C2" s="69" t="s">
        <v>0</v>
      </c>
      <c r="D2" s="65" t="s">
        <v>66</v>
      </c>
      <c r="E2" s="44" t="s">
        <v>67</v>
      </c>
      <c r="F2" s="65" t="s">
        <v>94</v>
      </c>
      <c r="G2" s="65" t="s">
        <v>95</v>
      </c>
      <c r="H2" s="65" t="s">
        <v>119</v>
      </c>
      <c r="I2" s="65" t="s">
        <v>120</v>
      </c>
      <c r="J2" s="65" t="s">
        <v>121</v>
      </c>
      <c r="K2" s="65" t="s">
        <v>122</v>
      </c>
      <c r="L2" s="44" t="s">
        <v>125</v>
      </c>
      <c r="M2" s="44" t="s">
        <v>124</v>
      </c>
      <c r="N2" s="44" t="s">
        <v>142</v>
      </c>
      <c r="O2" s="44" t="s">
        <v>143</v>
      </c>
      <c r="P2" s="44" t="s">
        <v>159</v>
      </c>
      <c r="Q2" s="44" t="s">
        <v>158</v>
      </c>
      <c r="R2" s="55" t="s">
        <v>1</v>
      </c>
      <c r="S2" s="29"/>
      <c r="T2" s="29"/>
    </row>
    <row r="3" spans="1:18" ht="14.25">
      <c r="A3" s="62" t="s">
        <v>56</v>
      </c>
      <c r="B3" s="70" t="s">
        <v>97</v>
      </c>
      <c r="C3" s="71" t="s">
        <v>98</v>
      </c>
      <c r="D3" s="66"/>
      <c r="E3" s="12"/>
      <c r="F3" s="115">
        <f>100-(40.58-32.13)/32.13*50</f>
        <v>86.85029567382509</v>
      </c>
      <c r="G3" s="115">
        <f>100-(53.75-48.88)/48.88*50</f>
        <v>95.0184124386252</v>
      </c>
      <c r="H3" s="11"/>
      <c r="I3" s="11"/>
      <c r="J3" s="11"/>
      <c r="K3" s="11"/>
      <c r="L3" s="13"/>
      <c r="M3" s="11"/>
      <c r="N3" s="101">
        <f>100-(20.95-20.95)/20.95*50</f>
        <v>100</v>
      </c>
      <c r="O3" s="13">
        <f>100-(42.97-40.97)/40.97*50</f>
        <v>97.55918965096411</v>
      </c>
      <c r="P3" s="11"/>
      <c r="Q3" s="52"/>
      <c r="R3" s="56">
        <f>SUM(D3:Q3)</f>
        <v>379.4278977634144</v>
      </c>
    </row>
    <row r="4" spans="1:18" ht="14.25">
      <c r="A4" s="63" t="s">
        <v>57</v>
      </c>
      <c r="B4" s="72" t="s">
        <v>41</v>
      </c>
      <c r="C4" s="73" t="s">
        <v>35</v>
      </c>
      <c r="D4" s="67"/>
      <c r="E4" s="3"/>
      <c r="F4" s="8">
        <f>100-(32.13-32.13)/32.13*50</f>
        <v>100</v>
      </c>
      <c r="G4" s="8">
        <f>100-(48.88-48.88)/48.88*50</f>
        <v>100</v>
      </c>
      <c r="H4" s="2"/>
      <c r="I4" s="2"/>
      <c r="J4" s="2"/>
      <c r="K4" s="2"/>
      <c r="L4" s="8"/>
      <c r="M4" s="8"/>
      <c r="N4" s="116"/>
      <c r="O4" s="122"/>
      <c r="P4" s="2"/>
      <c r="Q4" s="48"/>
      <c r="R4" s="57">
        <f>SUM(D4:Q4)</f>
        <v>200</v>
      </c>
    </row>
    <row r="5" spans="1:18" ht="14.25">
      <c r="A5" s="63" t="s">
        <v>58</v>
      </c>
      <c r="B5" s="72" t="s">
        <v>99</v>
      </c>
      <c r="C5" s="73" t="s">
        <v>98</v>
      </c>
      <c r="D5" s="67"/>
      <c r="E5" s="3"/>
      <c r="F5" s="13">
        <f>100-(44.88-32.13)/32.13*50</f>
        <v>80.15873015873015</v>
      </c>
      <c r="G5" s="116">
        <f>100-(67.87-48.88)/48.88*50</f>
        <v>80.57487725040916</v>
      </c>
      <c r="H5" s="2"/>
      <c r="I5" s="2"/>
      <c r="J5" s="2"/>
      <c r="K5" s="2"/>
      <c r="L5" s="2"/>
      <c r="M5" s="8"/>
      <c r="N5" s="8"/>
      <c r="O5" s="2"/>
      <c r="P5" s="2"/>
      <c r="Q5" s="48"/>
      <c r="R5" s="57">
        <f>SUM(D5:Q5)</f>
        <v>160.73360740913932</v>
      </c>
    </row>
    <row r="6" spans="1:18" ht="14.25">
      <c r="A6" s="63" t="s">
        <v>59</v>
      </c>
      <c r="B6" s="72" t="s">
        <v>144</v>
      </c>
      <c r="C6" s="73" t="s">
        <v>98</v>
      </c>
      <c r="D6" s="67"/>
      <c r="E6" s="3"/>
      <c r="F6" s="3"/>
      <c r="G6" s="3"/>
      <c r="H6" s="2"/>
      <c r="I6" s="2"/>
      <c r="J6" s="2"/>
      <c r="K6" s="2"/>
      <c r="L6" s="8"/>
      <c r="M6" s="8"/>
      <c r="N6" s="116">
        <f>100-(36.63-20.95)/20.95*50</f>
        <v>62.577565632458224</v>
      </c>
      <c r="O6" s="116">
        <f>100-(49.1-40.97)/40.97*50</f>
        <v>90.07810593116915</v>
      </c>
      <c r="P6" s="2"/>
      <c r="Q6" s="48"/>
      <c r="R6" s="57">
        <f>SUM(D6:Q6)</f>
        <v>152.65567156362738</v>
      </c>
    </row>
    <row r="7" spans="1:18" ht="14.25">
      <c r="A7" s="63" t="s">
        <v>60</v>
      </c>
      <c r="B7" s="72" t="s">
        <v>179</v>
      </c>
      <c r="C7" s="73" t="s">
        <v>7</v>
      </c>
      <c r="D7" s="67"/>
      <c r="E7" s="3"/>
      <c r="F7" s="3"/>
      <c r="G7" s="3"/>
      <c r="H7" s="2"/>
      <c r="I7" s="2"/>
      <c r="J7" s="2"/>
      <c r="K7" s="2"/>
      <c r="L7" s="2"/>
      <c r="M7" s="8"/>
      <c r="N7" s="2"/>
      <c r="O7" s="2"/>
      <c r="P7" s="10" t="s">
        <v>52</v>
      </c>
      <c r="Q7" s="10" t="s">
        <v>52</v>
      </c>
      <c r="R7" s="57">
        <f>SUM(D7:Q7)</f>
        <v>0</v>
      </c>
    </row>
    <row r="8" spans="1:18" ht="14.25">
      <c r="A8" s="63" t="s">
        <v>61</v>
      </c>
      <c r="B8" s="72" t="s">
        <v>165</v>
      </c>
      <c r="C8" s="73" t="s">
        <v>7</v>
      </c>
      <c r="D8" s="67"/>
      <c r="E8" s="3"/>
      <c r="F8" s="3"/>
      <c r="G8" s="3"/>
      <c r="H8" s="2"/>
      <c r="I8" s="2"/>
      <c r="J8" s="2"/>
      <c r="K8" s="2"/>
      <c r="L8" s="2"/>
      <c r="M8" s="2"/>
      <c r="N8" s="2"/>
      <c r="O8" s="8"/>
      <c r="P8" s="10" t="s">
        <v>52</v>
      </c>
      <c r="Q8" s="10" t="s">
        <v>52</v>
      </c>
      <c r="R8" s="57">
        <f>SUM(D8:Q8)</f>
        <v>0</v>
      </c>
    </row>
    <row r="9" spans="1:18" ht="14.25">
      <c r="A9" s="63" t="s">
        <v>62</v>
      </c>
      <c r="B9" s="72" t="s">
        <v>166</v>
      </c>
      <c r="C9" s="73" t="s">
        <v>7</v>
      </c>
      <c r="D9" s="67"/>
      <c r="E9" s="3"/>
      <c r="F9" s="3"/>
      <c r="G9" s="3"/>
      <c r="H9" s="2"/>
      <c r="I9" s="2"/>
      <c r="J9" s="2"/>
      <c r="K9" s="2"/>
      <c r="L9" s="2"/>
      <c r="M9" s="2"/>
      <c r="N9" s="2"/>
      <c r="O9" s="8"/>
      <c r="P9" s="2"/>
      <c r="Q9" s="10" t="s">
        <v>52</v>
      </c>
      <c r="R9" s="57">
        <f>SUM(D9:Q9)</f>
        <v>0</v>
      </c>
    </row>
    <row r="10" spans="1:18" ht="15" thickBot="1">
      <c r="A10" s="64"/>
      <c r="B10" s="74"/>
      <c r="C10" s="75"/>
      <c r="D10" s="68"/>
      <c r="E10" s="50"/>
      <c r="F10" s="50"/>
      <c r="G10" s="50"/>
      <c r="H10" s="35"/>
      <c r="I10" s="35"/>
      <c r="J10" s="35"/>
      <c r="K10" s="35"/>
      <c r="L10" s="35"/>
      <c r="M10" s="35"/>
      <c r="N10" s="35"/>
      <c r="O10" s="35"/>
      <c r="P10" s="35"/>
      <c r="Q10" s="54"/>
      <c r="R10" s="58"/>
    </row>
    <row r="11" spans="1:18" ht="14.25">
      <c r="A11" s="96"/>
      <c r="B11" s="14"/>
      <c r="C11" s="14"/>
      <c r="D11" s="19"/>
      <c r="E11" s="19"/>
      <c r="F11" s="19"/>
      <c r="G11" s="19"/>
      <c r="H11" s="14"/>
      <c r="I11" s="14"/>
      <c r="J11" s="14"/>
      <c r="K11" s="14"/>
      <c r="L11" s="14"/>
      <c r="M11" s="14"/>
      <c r="N11" s="14"/>
      <c r="O11" s="14"/>
      <c r="P11" s="14"/>
      <c r="Q11" s="95"/>
      <c r="R11" s="18"/>
    </row>
    <row r="12" spans="1:18" ht="14.25">
      <c r="A12" s="96"/>
      <c r="B12" s="14"/>
      <c r="C12" s="14"/>
      <c r="D12" s="19"/>
      <c r="E12" s="19"/>
      <c r="F12" s="19"/>
      <c r="G12" s="19"/>
      <c r="H12" s="14"/>
      <c r="I12" s="14"/>
      <c r="J12" s="14"/>
      <c r="K12" s="14"/>
      <c r="L12" s="14"/>
      <c r="M12" s="14"/>
      <c r="N12" s="14"/>
      <c r="O12" s="14"/>
      <c r="P12" s="14"/>
      <c r="Q12" s="95"/>
      <c r="R12" s="18"/>
    </row>
    <row r="13" spans="1:18" ht="14.25">
      <c r="A13" s="14"/>
      <c r="B13" s="14"/>
      <c r="C13" s="14"/>
      <c r="D13" s="19"/>
      <c r="E13" s="19"/>
      <c r="F13" s="19"/>
      <c r="G13" s="19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</row>
    <row r="14" s="28" customFormat="1" ht="14.25">
      <c r="A14" s="28" t="s">
        <v>43</v>
      </c>
    </row>
    <row r="15" s="27" customFormat="1" ht="14.25">
      <c r="A15" s="27" t="s">
        <v>53</v>
      </c>
    </row>
  </sheetData>
  <sheetProtection/>
  <autoFilter ref="B2:R2">
    <sortState ref="B3:R15">
      <sortCondition descending="1" sortBy="value" ref="Q3:Q15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P15" sqref="P15"/>
    </sheetView>
  </sheetViews>
  <sheetFormatPr defaultColWidth="9.140625" defaultRowHeight="15"/>
  <cols>
    <col min="1" max="1" width="5.28125" style="1" customWidth="1"/>
    <col min="2" max="2" width="20.57421875" style="1" customWidth="1"/>
    <col min="3" max="3" width="16.140625" style="1" customWidth="1"/>
    <col min="4" max="5" width="9.140625" style="1" customWidth="1"/>
    <col min="6" max="7" width="9.140625" style="6" customWidth="1"/>
    <col min="8" max="18" width="9.140625" style="1" customWidth="1"/>
    <col min="19" max="27" width="9.00390625" style="14" customWidth="1"/>
    <col min="28" max="16384" width="9.00390625" style="1" customWidth="1"/>
  </cols>
  <sheetData>
    <row r="1" spans="1:20" ht="32.25" customHeight="1" thickBo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31"/>
      <c r="T1" s="31"/>
    </row>
    <row r="2" spans="1:20" ht="184.5" thickBot="1">
      <c r="A2" s="61" t="s">
        <v>54</v>
      </c>
      <c r="B2" s="42" t="s">
        <v>55</v>
      </c>
      <c r="C2" s="69" t="s">
        <v>0</v>
      </c>
      <c r="D2" s="65" t="s">
        <v>66</v>
      </c>
      <c r="E2" s="44" t="s">
        <v>67</v>
      </c>
      <c r="F2" s="65" t="s">
        <v>94</v>
      </c>
      <c r="G2" s="65" t="s">
        <v>95</v>
      </c>
      <c r="H2" s="65" t="s">
        <v>119</v>
      </c>
      <c r="I2" s="65" t="s">
        <v>120</v>
      </c>
      <c r="J2" s="65" t="s">
        <v>121</v>
      </c>
      <c r="K2" s="65" t="s">
        <v>122</v>
      </c>
      <c r="L2" s="44" t="s">
        <v>125</v>
      </c>
      <c r="M2" s="44" t="s">
        <v>124</v>
      </c>
      <c r="N2" s="44" t="s">
        <v>142</v>
      </c>
      <c r="O2" s="44" t="s">
        <v>143</v>
      </c>
      <c r="P2" s="44" t="s">
        <v>159</v>
      </c>
      <c r="Q2" s="44" t="s">
        <v>158</v>
      </c>
      <c r="R2" s="55" t="s">
        <v>1</v>
      </c>
      <c r="S2" s="29"/>
      <c r="T2" s="29"/>
    </row>
    <row r="3" spans="1:18" ht="14.25">
      <c r="A3" s="94" t="s">
        <v>56</v>
      </c>
      <c r="B3" s="98" t="s">
        <v>39</v>
      </c>
      <c r="C3" s="99" t="s">
        <v>7</v>
      </c>
      <c r="D3" s="97"/>
      <c r="E3" s="13"/>
      <c r="F3" s="82"/>
      <c r="G3" s="13"/>
      <c r="H3" s="82"/>
      <c r="I3" s="13"/>
      <c r="J3" s="97" t="s">
        <v>52</v>
      </c>
      <c r="K3" s="115">
        <f>100-(51.82-41.8)/41.8*50</f>
        <v>88.01435406698565</v>
      </c>
      <c r="L3" s="13"/>
      <c r="M3" s="82"/>
      <c r="N3" s="101">
        <f>100-(30.8-24.17)/24.17*50</f>
        <v>86.28465039304923</v>
      </c>
      <c r="O3" s="101">
        <f>100-(82.1-73.47)/73.417*50</f>
        <v>94.12261465328194</v>
      </c>
      <c r="P3" s="97" t="s">
        <v>52</v>
      </c>
      <c r="Q3" s="115">
        <f>100-(48.65-48.65)/48.65*50</f>
        <v>100</v>
      </c>
      <c r="R3" s="56">
        <f>SUM(D3:Q3)</f>
        <v>368.42161911331686</v>
      </c>
    </row>
    <row r="4" spans="1:18" ht="14.25">
      <c r="A4" s="63" t="s">
        <v>57</v>
      </c>
      <c r="B4" s="72" t="s">
        <v>150</v>
      </c>
      <c r="C4" s="73" t="s">
        <v>7</v>
      </c>
      <c r="D4" s="84"/>
      <c r="E4" s="8"/>
      <c r="F4" s="7"/>
      <c r="G4" s="7"/>
      <c r="H4" s="9"/>
      <c r="I4" s="8"/>
      <c r="J4" s="8"/>
      <c r="K4" s="7"/>
      <c r="L4" s="8"/>
      <c r="M4" s="8"/>
      <c r="N4" s="116">
        <f>100-(44.8-24.17)/24.17*50</f>
        <v>57.32312784443526</v>
      </c>
      <c r="O4" s="116">
        <f>100-(79.37-73.47)/73.417*50</f>
        <v>95.98185706307802</v>
      </c>
      <c r="P4" s="46" t="s">
        <v>52</v>
      </c>
      <c r="Q4" s="119">
        <f>100-(70.12-48.65)/48.65*50</f>
        <v>77.93422404933196</v>
      </c>
      <c r="R4" s="57">
        <f>SUM(D4:Q4)</f>
        <v>231.23920895684526</v>
      </c>
    </row>
    <row r="5" spans="1:18" ht="14.25">
      <c r="A5" s="63" t="s">
        <v>58</v>
      </c>
      <c r="B5" s="72" t="s">
        <v>160</v>
      </c>
      <c r="C5" s="73" t="s">
        <v>7</v>
      </c>
      <c r="D5" s="30"/>
      <c r="E5" s="2"/>
      <c r="F5" s="3"/>
      <c r="G5" s="3"/>
      <c r="H5" s="2"/>
      <c r="I5" s="2"/>
      <c r="J5" s="2"/>
      <c r="K5" s="2"/>
      <c r="L5" s="2"/>
      <c r="M5" s="2"/>
      <c r="N5" s="8"/>
      <c r="O5" s="2"/>
      <c r="P5" s="8"/>
      <c r="Q5" s="13">
        <f>100-(74.17-48.65)/48.65*50</f>
        <v>73.77183967112025</v>
      </c>
      <c r="R5" s="57">
        <f>SUM(D5:Q5)</f>
        <v>73.77183967112025</v>
      </c>
    </row>
    <row r="6" spans="1:18" ht="14.25">
      <c r="A6" s="63"/>
      <c r="B6" s="72"/>
      <c r="C6" s="73"/>
      <c r="D6" s="30"/>
      <c r="E6" s="2"/>
      <c r="F6" s="3"/>
      <c r="G6" s="3"/>
      <c r="H6" s="2"/>
      <c r="I6" s="2"/>
      <c r="J6" s="2"/>
      <c r="K6" s="2"/>
      <c r="L6" s="2"/>
      <c r="M6" s="8"/>
      <c r="N6" s="2"/>
      <c r="O6" s="2"/>
      <c r="P6" s="8"/>
      <c r="Q6" s="53"/>
      <c r="R6" s="57"/>
    </row>
    <row r="7" spans="1:18" ht="15" thickBot="1">
      <c r="A7" s="64"/>
      <c r="B7" s="74"/>
      <c r="C7" s="75"/>
      <c r="D7" s="80"/>
      <c r="E7" s="36"/>
      <c r="F7" s="40"/>
      <c r="G7" s="40"/>
      <c r="H7" s="36"/>
      <c r="I7" s="36"/>
      <c r="J7" s="36"/>
      <c r="K7" s="36"/>
      <c r="L7" s="83"/>
      <c r="M7" s="36"/>
      <c r="N7" s="36"/>
      <c r="O7" s="51"/>
      <c r="P7" s="36"/>
      <c r="Q7" s="54"/>
      <c r="R7" s="58"/>
    </row>
    <row r="8" spans="1:18" ht="14.25">
      <c r="A8" s="14"/>
      <c r="B8" s="14"/>
      <c r="C8" s="14"/>
      <c r="D8" s="14"/>
      <c r="E8" s="14"/>
      <c r="F8" s="19"/>
      <c r="G8" s="19"/>
      <c r="H8" s="14"/>
      <c r="I8" s="14"/>
      <c r="J8" s="14"/>
      <c r="K8" s="14"/>
      <c r="L8" s="14"/>
      <c r="M8" s="14"/>
      <c r="N8" s="14"/>
      <c r="O8" s="14"/>
      <c r="P8" s="15"/>
      <c r="Q8" s="14"/>
      <c r="R8" s="14"/>
    </row>
    <row r="9" s="28" customFormat="1" ht="14.25">
      <c r="A9" s="28" t="s">
        <v>43</v>
      </c>
    </row>
    <row r="10" s="27" customFormat="1" ht="14.25">
      <c r="A10" s="27" t="s">
        <v>53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5.00390625" style="1" customWidth="1"/>
    <col min="2" max="2" width="14.421875" style="1" customWidth="1"/>
    <col min="3" max="3" width="16.140625" style="1" customWidth="1"/>
    <col min="4" max="5" width="9.140625" style="1" customWidth="1"/>
    <col min="6" max="7" width="9.140625" style="6" customWidth="1"/>
    <col min="8" max="18" width="9.140625" style="1" customWidth="1"/>
    <col min="19" max="27" width="9.00390625" style="14" customWidth="1"/>
    <col min="28" max="16384" width="9.00390625" style="1" customWidth="1"/>
  </cols>
  <sheetData>
    <row r="1" spans="1:20" ht="34.5" customHeight="1" thickBo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31"/>
      <c r="T1" s="31"/>
    </row>
    <row r="2" spans="1:20" ht="184.5" thickBot="1">
      <c r="A2" s="85" t="s">
        <v>54</v>
      </c>
      <c r="B2" s="42" t="s">
        <v>55</v>
      </c>
      <c r="C2" s="69" t="s">
        <v>0</v>
      </c>
      <c r="D2" s="65" t="s">
        <v>66</v>
      </c>
      <c r="E2" s="44" t="s">
        <v>67</v>
      </c>
      <c r="F2" s="65" t="s">
        <v>94</v>
      </c>
      <c r="G2" s="65" t="s">
        <v>95</v>
      </c>
      <c r="H2" s="65" t="s">
        <v>119</v>
      </c>
      <c r="I2" s="65" t="s">
        <v>120</v>
      </c>
      <c r="J2" s="65" t="s">
        <v>121</v>
      </c>
      <c r="K2" s="65" t="s">
        <v>122</v>
      </c>
      <c r="L2" s="44" t="s">
        <v>125</v>
      </c>
      <c r="M2" s="44" t="s">
        <v>124</v>
      </c>
      <c r="N2" s="44" t="s">
        <v>142</v>
      </c>
      <c r="O2" s="44" t="s">
        <v>143</v>
      </c>
      <c r="P2" s="44" t="s">
        <v>159</v>
      </c>
      <c r="Q2" s="44" t="s">
        <v>158</v>
      </c>
      <c r="R2" s="55" t="s">
        <v>1</v>
      </c>
      <c r="S2" s="29"/>
      <c r="T2" s="29"/>
    </row>
    <row r="3" spans="1:18" ht="14.25">
      <c r="A3" s="94" t="s">
        <v>56</v>
      </c>
      <c r="B3" s="98" t="s">
        <v>29</v>
      </c>
      <c r="C3" s="99" t="s">
        <v>30</v>
      </c>
      <c r="D3" s="108"/>
      <c r="E3" s="108"/>
      <c r="F3" s="101">
        <f>100-(47.43-43.18)/43.18*50</f>
        <v>95.07874015748031</v>
      </c>
      <c r="G3" s="101">
        <f>100-(98.03-82.48)/82.48*50</f>
        <v>90.57347235693501</v>
      </c>
      <c r="H3" s="101">
        <f>100-(44.98-44.98)/44.98*50</f>
        <v>100</v>
      </c>
      <c r="I3" s="97" t="s">
        <v>52</v>
      </c>
      <c r="J3" s="101">
        <f>100-(53.32-45.23)/45.23*50</f>
        <v>91.05682069422949</v>
      </c>
      <c r="K3" s="126">
        <f>100-(63.58-48.88)/48.88*50</f>
        <v>84.96317512274959</v>
      </c>
      <c r="L3" s="113" t="s">
        <v>52</v>
      </c>
      <c r="M3" s="101">
        <f>100-(27.05-27.05)/27.05*50</f>
        <v>100</v>
      </c>
      <c r="N3" s="108"/>
      <c r="O3" s="108"/>
      <c r="P3" s="8">
        <f>100-(51.25-49.03)/49.03*50</f>
        <v>97.73607995105039</v>
      </c>
      <c r="Q3" s="8">
        <f>100-(86.8-75.32)/75.32*50</f>
        <v>92.37918215613382</v>
      </c>
      <c r="R3" s="111">
        <f>SUM(D3:Q3)-K3</f>
        <v>666.824295315829</v>
      </c>
    </row>
    <row r="4" spans="1:18" ht="14.25">
      <c r="A4" s="87" t="s">
        <v>57</v>
      </c>
      <c r="B4" s="72" t="s">
        <v>100</v>
      </c>
      <c r="C4" s="73" t="s">
        <v>98</v>
      </c>
      <c r="D4" s="30"/>
      <c r="E4" s="2"/>
      <c r="F4" s="8">
        <f>100-(43.18-43.18)/43.18*50</f>
        <v>100</v>
      </c>
      <c r="G4" s="8">
        <f>100-(82.48-82.48)/82.48*50</f>
        <v>100</v>
      </c>
      <c r="H4" s="2"/>
      <c r="I4" s="30"/>
      <c r="J4" s="2"/>
      <c r="K4" s="2"/>
      <c r="L4" s="2"/>
      <c r="M4" s="2"/>
      <c r="N4" s="8">
        <f>100-(39.63-39.63)/39.63*50</f>
        <v>100</v>
      </c>
      <c r="O4" s="10" t="s">
        <v>52</v>
      </c>
      <c r="P4" s="8"/>
      <c r="Q4" s="47"/>
      <c r="R4" s="57">
        <f>SUM(D4:Q4)</f>
        <v>300</v>
      </c>
    </row>
    <row r="5" spans="1:18" ht="14.25">
      <c r="A5" s="87" t="s">
        <v>58</v>
      </c>
      <c r="B5" s="72" t="s">
        <v>42</v>
      </c>
      <c r="C5" s="73" t="s">
        <v>9</v>
      </c>
      <c r="D5" s="113" t="s">
        <v>52</v>
      </c>
      <c r="E5" s="8">
        <f>100-(113.77-69.6)/69.6*50</f>
        <v>68.26867816091954</v>
      </c>
      <c r="F5" s="10"/>
      <c r="G5" s="8"/>
      <c r="H5" s="10"/>
      <c r="I5" s="8"/>
      <c r="J5" s="8"/>
      <c r="K5" s="10"/>
      <c r="L5" s="10" t="s">
        <v>52</v>
      </c>
      <c r="M5" s="8">
        <f>100-(31.35-27.05)/27.05*50</f>
        <v>92.05175600739372</v>
      </c>
      <c r="N5" s="8">
        <f>100-(53.63-39.63)/39.63*50</f>
        <v>82.3366136765077</v>
      </c>
      <c r="O5" s="8"/>
      <c r="P5" s="8"/>
      <c r="Q5" s="47"/>
      <c r="R5" s="57">
        <f>SUM(D5:Q5)</f>
        <v>242.65704784482097</v>
      </c>
    </row>
    <row r="6" spans="1:18" ht="14.25">
      <c r="A6" s="87" t="s">
        <v>59</v>
      </c>
      <c r="B6" s="72" t="s">
        <v>168</v>
      </c>
      <c r="C6" s="73" t="s">
        <v>7</v>
      </c>
      <c r="D6" s="78"/>
      <c r="E6" s="8"/>
      <c r="F6" s="7"/>
      <c r="G6" s="7"/>
      <c r="H6" s="8"/>
      <c r="I6" s="8"/>
      <c r="J6" s="8"/>
      <c r="K6" s="8"/>
      <c r="L6" s="10"/>
      <c r="M6" s="8"/>
      <c r="N6" s="8"/>
      <c r="O6" s="10"/>
      <c r="P6" s="8">
        <f>100-(53.62-49.03)/49.03*50</f>
        <v>95.31919233122578</v>
      </c>
      <c r="Q6" s="47">
        <f>100-(75.32-75.32)/75.32*50</f>
        <v>100</v>
      </c>
      <c r="R6" s="57">
        <f>SUM(D6:Q6)</f>
        <v>195.3191923312258</v>
      </c>
    </row>
    <row r="7" spans="1:18" ht="14.25">
      <c r="A7" s="87" t="s">
        <v>60</v>
      </c>
      <c r="B7" s="72" t="s">
        <v>101</v>
      </c>
      <c r="C7" s="73" t="s">
        <v>2</v>
      </c>
      <c r="D7" s="30"/>
      <c r="E7" s="2"/>
      <c r="F7" s="8">
        <f>100-(95.35-43.18)/43.18*50</f>
        <v>39.590088003705425</v>
      </c>
      <c r="G7" s="3"/>
      <c r="H7" s="2"/>
      <c r="I7" s="2"/>
      <c r="J7" s="2"/>
      <c r="K7" s="2"/>
      <c r="L7" s="10" t="s">
        <v>52</v>
      </c>
      <c r="M7" s="8">
        <f>100-(38.78-27.05)/27.05*50</f>
        <v>78.31792975970426</v>
      </c>
      <c r="N7" s="8">
        <f>100-(61.93-39.63)/39.63*50</f>
        <v>71.86474892758012</v>
      </c>
      <c r="O7" s="2"/>
      <c r="P7" s="8"/>
      <c r="Q7" s="47"/>
      <c r="R7" s="57">
        <f>SUM(D7:Q7)</f>
        <v>189.77276669098978</v>
      </c>
    </row>
    <row r="8" spans="1:18" ht="14.25">
      <c r="A8" s="87" t="s">
        <v>61</v>
      </c>
      <c r="B8" s="72" t="s">
        <v>41</v>
      </c>
      <c r="C8" s="73" t="s">
        <v>35</v>
      </c>
      <c r="D8" s="30"/>
      <c r="E8" s="8">
        <f>100-(98.75-69.6)/69.6*50</f>
        <v>79.058908045977</v>
      </c>
      <c r="F8" s="3"/>
      <c r="G8" s="3"/>
      <c r="H8" s="2"/>
      <c r="I8" s="2"/>
      <c r="J8" s="2"/>
      <c r="K8" s="2"/>
      <c r="L8" s="30"/>
      <c r="M8" s="2"/>
      <c r="N8" s="8">
        <f>100-(40.7-39.63)/39.63*50</f>
        <v>98.65001261670452</v>
      </c>
      <c r="O8" s="10"/>
      <c r="P8" s="8"/>
      <c r="Q8" s="47"/>
      <c r="R8" s="57">
        <f>SUM(D8:Q8)</f>
        <v>177.70892066268152</v>
      </c>
    </row>
    <row r="9" spans="1:18" ht="14.25">
      <c r="A9" s="87" t="s">
        <v>62</v>
      </c>
      <c r="B9" s="72" t="s">
        <v>167</v>
      </c>
      <c r="C9" s="71" t="s">
        <v>7</v>
      </c>
      <c r="D9" s="30"/>
      <c r="E9" s="2"/>
      <c r="F9" s="3"/>
      <c r="G9" s="3"/>
      <c r="H9" s="2"/>
      <c r="I9" s="2"/>
      <c r="J9" s="2"/>
      <c r="K9" s="2"/>
      <c r="L9" s="30"/>
      <c r="M9" s="2"/>
      <c r="N9" s="8"/>
      <c r="O9" s="2"/>
      <c r="P9" s="8">
        <f>100-(49.03-49.03)/49.03*50</f>
        <v>100</v>
      </c>
      <c r="Q9" s="47">
        <f>100-(131.53-75.32)/75.32*50</f>
        <v>62.68587360594795</v>
      </c>
      <c r="R9" s="57">
        <f>SUM(D9:Q9)</f>
        <v>162.68587360594796</v>
      </c>
    </row>
    <row r="10" spans="1:18" ht="14.25">
      <c r="A10" s="87" t="s">
        <v>63</v>
      </c>
      <c r="B10" s="72" t="s">
        <v>38</v>
      </c>
      <c r="C10" s="73" t="s">
        <v>4</v>
      </c>
      <c r="D10" s="30"/>
      <c r="E10" s="8">
        <f>100-(112.67-69.6)/69.6*50</f>
        <v>69.058908045977</v>
      </c>
      <c r="F10" s="3"/>
      <c r="G10" s="3"/>
      <c r="H10" s="2"/>
      <c r="I10" s="2"/>
      <c r="J10" s="2"/>
      <c r="K10" s="2"/>
      <c r="L10" s="2"/>
      <c r="M10" s="8">
        <f>100-(33.47-27.05)/27.05*50</f>
        <v>88.13308687615528</v>
      </c>
      <c r="N10" s="2"/>
      <c r="O10" s="2"/>
      <c r="P10" s="8"/>
      <c r="Q10" s="47"/>
      <c r="R10" s="57">
        <f>SUM(D10:Q10)</f>
        <v>157.19199492213227</v>
      </c>
    </row>
    <row r="11" spans="1:18" ht="14.25">
      <c r="A11" s="87" t="s">
        <v>64</v>
      </c>
      <c r="B11" s="72" t="s">
        <v>48</v>
      </c>
      <c r="C11" s="73" t="s">
        <v>4</v>
      </c>
      <c r="D11" s="84"/>
      <c r="E11" s="8">
        <f>100-(69.6-69.6)/69.6*50</f>
        <v>100</v>
      </c>
      <c r="F11" s="7"/>
      <c r="G11" s="7"/>
      <c r="H11" s="10"/>
      <c r="I11" s="8"/>
      <c r="J11" s="8"/>
      <c r="K11" s="7"/>
      <c r="L11" s="8"/>
      <c r="M11" s="8"/>
      <c r="N11" s="7"/>
      <c r="O11" s="8"/>
      <c r="P11" s="8"/>
      <c r="Q11" s="8"/>
      <c r="R11" s="57">
        <f>SUM(D11:Q11)</f>
        <v>100</v>
      </c>
    </row>
    <row r="12" spans="1:18" ht="14.25">
      <c r="A12" s="87" t="s">
        <v>65</v>
      </c>
      <c r="B12" s="72" t="s">
        <v>135</v>
      </c>
      <c r="C12" s="73" t="s">
        <v>4</v>
      </c>
      <c r="D12" s="30"/>
      <c r="E12" s="2"/>
      <c r="F12" s="3"/>
      <c r="G12" s="3"/>
      <c r="H12" s="2"/>
      <c r="I12" s="2"/>
      <c r="J12" s="2"/>
      <c r="K12" s="2"/>
      <c r="L12" s="2"/>
      <c r="M12" s="8">
        <f>100-(36.25-27.05)/27.05*50</f>
        <v>82.99445471349352</v>
      </c>
      <c r="N12" s="2"/>
      <c r="O12" s="2"/>
      <c r="P12" s="2"/>
      <c r="Q12" s="2"/>
      <c r="R12" s="57">
        <f>SUM(D12:Q12)</f>
        <v>82.99445471349352</v>
      </c>
    </row>
    <row r="13" spans="1:18" ht="14.25">
      <c r="A13" s="87" t="s">
        <v>81</v>
      </c>
      <c r="B13" s="72" t="s">
        <v>180</v>
      </c>
      <c r="C13" s="73" t="s">
        <v>7</v>
      </c>
      <c r="D13" s="30"/>
      <c r="E13" s="2"/>
      <c r="F13" s="3"/>
      <c r="G13" s="3"/>
      <c r="H13" s="2"/>
      <c r="I13" s="2"/>
      <c r="J13" s="2"/>
      <c r="K13" s="2"/>
      <c r="L13" s="8"/>
      <c r="M13" s="2"/>
      <c r="N13" s="2"/>
      <c r="O13" s="2"/>
      <c r="P13" s="2"/>
      <c r="Q13" s="8">
        <f>100-(169.62-75.32)/75.32*50</f>
        <v>37.40042485395644</v>
      </c>
      <c r="R13" s="57">
        <f>SUM(D13:Q13)</f>
        <v>37.40042485395644</v>
      </c>
    </row>
    <row r="14" spans="1:18" ht="15" thickBot="1">
      <c r="A14" s="88"/>
      <c r="B14" s="74"/>
      <c r="C14" s="75"/>
      <c r="D14" s="60"/>
      <c r="E14" s="35"/>
      <c r="F14" s="50"/>
      <c r="G14" s="50"/>
      <c r="H14" s="35"/>
      <c r="I14" s="35"/>
      <c r="J14" s="35"/>
      <c r="K14" s="35"/>
      <c r="L14" s="35"/>
      <c r="M14" s="36"/>
      <c r="N14" s="35"/>
      <c r="O14" s="35"/>
      <c r="P14" s="35"/>
      <c r="Q14" s="89"/>
      <c r="R14" s="58"/>
    </row>
    <row r="15" spans="1:18" ht="14.25">
      <c r="A15" s="14"/>
      <c r="B15" s="14"/>
      <c r="C15" s="14"/>
      <c r="D15" s="14"/>
      <c r="E15" s="14"/>
      <c r="F15" s="19"/>
      <c r="G15" s="19"/>
      <c r="H15" s="14"/>
      <c r="I15" s="14"/>
      <c r="J15" s="14"/>
      <c r="K15" s="14"/>
      <c r="L15" s="14"/>
      <c r="M15" s="14"/>
      <c r="N15" s="14"/>
      <c r="O15" s="14"/>
      <c r="P15" s="15"/>
      <c r="Q15" s="14"/>
      <c r="R15" s="14"/>
    </row>
    <row r="16" s="28" customFormat="1" ht="14.25">
      <c r="A16" s="28" t="s">
        <v>43</v>
      </c>
    </row>
    <row r="17" s="27" customFormat="1" ht="14.25">
      <c r="A17" s="27" t="s">
        <v>53</v>
      </c>
    </row>
  </sheetData>
  <sheetProtection/>
  <autoFilter ref="B2:R2">
    <sortState ref="B3:R17">
      <sortCondition descending="1" sortBy="value" ref="Q3:Q17"/>
    </sortState>
  </autoFilter>
  <mergeCells count="1">
    <mergeCell ref="A1:R1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P2" sqref="P2:Q2"/>
    </sheetView>
  </sheetViews>
  <sheetFormatPr defaultColWidth="9.140625" defaultRowHeight="15"/>
  <cols>
    <col min="1" max="1" width="5.140625" style="1" customWidth="1"/>
    <col min="2" max="2" width="19.00390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9" width="9.00390625" style="14" customWidth="1"/>
    <col min="30" max="16384" width="9.00390625" style="1" customWidth="1"/>
  </cols>
  <sheetData>
    <row r="1" spans="1:20" ht="32.25" customHeight="1" thickBo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31"/>
      <c r="T1" s="31"/>
    </row>
    <row r="2" spans="1:20" ht="184.5" thickBot="1">
      <c r="A2" s="93" t="s">
        <v>54</v>
      </c>
      <c r="B2" s="42" t="s">
        <v>55</v>
      </c>
      <c r="C2" s="69" t="s">
        <v>0</v>
      </c>
      <c r="D2" s="65" t="s">
        <v>66</v>
      </c>
      <c r="E2" s="44" t="s">
        <v>67</v>
      </c>
      <c r="F2" s="65" t="s">
        <v>94</v>
      </c>
      <c r="G2" s="65" t="s">
        <v>95</v>
      </c>
      <c r="H2" s="65" t="s">
        <v>119</v>
      </c>
      <c r="I2" s="65" t="s">
        <v>120</v>
      </c>
      <c r="J2" s="65" t="s">
        <v>121</v>
      </c>
      <c r="K2" s="65" t="s">
        <v>122</v>
      </c>
      <c r="L2" s="44" t="s">
        <v>125</v>
      </c>
      <c r="M2" s="44" t="s">
        <v>124</v>
      </c>
      <c r="N2" s="44" t="s">
        <v>142</v>
      </c>
      <c r="O2" s="44" t="s">
        <v>143</v>
      </c>
      <c r="P2" s="44" t="s">
        <v>159</v>
      </c>
      <c r="Q2" s="44" t="s">
        <v>158</v>
      </c>
      <c r="R2" s="55" t="s">
        <v>1</v>
      </c>
      <c r="S2" s="29"/>
      <c r="T2" s="29"/>
    </row>
    <row r="3" spans="1:18" ht="14.25">
      <c r="A3" s="94" t="s">
        <v>56</v>
      </c>
      <c r="B3" s="98" t="s">
        <v>39</v>
      </c>
      <c r="C3" s="99" t="s">
        <v>7</v>
      </c>
      <c r="D3" s="97" t="s">
        <v>52</v>
      </c>
      <c r="E3" s="101">
        <f>100-(102.6-101.32)/101.32*50</f>
        <v>99.36833793920253</v>
      </c>
      <c r="F3" s="101">
        <f>100-(79.02-45.05)/45.05*50</f>
        <v>62.29744728079911</v>
      </c>
      <c r="G3" s="101">
        <f>100-(143.53-92.15)/92.15*50</f>
        <v>72.1215409658166</v>
      </c>
      <c r="H3" s="108"/>
      <c r="I3" s="108"/>
      <c r="J3" s="101"/>
      <c r="K3" s="101"/>
      <c r="L3" s="108"/>
      <c r="M3" s="117"/>
      <c r="N3" s="108"/>
      <c r="O3" s="108"/>
      <c r="P3" s="108"/>
      <c r="Q3" s="118"/>
      <c r="R3" s="111">
        <f>SUM(D3:Q3)</f>
        <v>233.78732618581824</v>
      </c>
    </row>
    <row r="4" spans="1:18" ht="14.25">
      <c r="A4" s="87" t="s">
        <v>57</v>
      </c>
      <c r="B4" s="72" t="s">
        <v>77</v>
      </c>
      <c r="C4" s="73" t="s">
        <v>4</v>
      </c>
      <c r="D4" s="46" t="s">
        <v>52</v>
      </c>
      <c r="E4" s="13">
        <f>100-(101.32-101.32)/101.32*50</f>
        <v>100</v>
      </c>
      <c r="F4" s="13"/>
      <c r="G4" s="13"/>
      <c r="H4" s="8"/>
      <c r="I4" s="7"/>
      <c r="J4" s="8"/>
      <c r="K4" s="8"/>
      <c r="L4" s="7"/>
      <c r="M4" s="8"/>
      <c r="N4" s="13">
        <f>100-(44.43-44.43)/44.43*50</f>
        <v>100</v>
      </c>
      <c r="O4" s="46" t="s">
        <v>52</v>
      </c>
      <c r="P4" s="8"/>
      <c r="Q4" s="47"/>
      <c r="R4" s="57">
        <f>SUM(D4:Q4)</f>
        <v>200</v>
      </c>
    </row>
    <row r="5" spans="1:18" ht="15" thickBot="1">
      <c r="A5" s="88" t="s">
        <v>58</v>
      </c>
      <c r="B5" s="74" t="s">
        <v>78</v>
      </c>
      <c r="C5" s="75" t="s">
        <v>4</v>
      </c>
      <c r="D5" s="80"/>
      <c r="E5" s="112">
        <f>100-(127.08-101.32)/101.32*50</f>
        <v>87.28780102645085</v>
      </c>
      <c r="F5" s="40"/>
      <c r="G5" s="36"/>
      <c r="H5" s="36"/>
      <c r="I5" s="36"/>
      <c r="J5" s="36"/>
      <c r="K5" s="36"/>
      <c r="L5" s="36"/>
      <c r="M5" s="40"/>
      <c r="N5" s="36">
        <f>100-(44.57-44.43)/44.43*50</f>
        <v>99.84244879585866</v>
      </c>
      <c r="O5" s="40"/>
      <c r="P5" s="40"/>
      <c r="Q5" s="76"/>
      <c r="R5" s="58">
        <f>SUM(D5:Q5)</f>
        <v>187.1302498223095</v>
      </c>
    </row>
    <row r="6" spans="1:18" ht="14.25">
      <c r="A6" s="14"/>
      <c r="B6" s="14"/>
      <c r="C6" s="14"/>
      <c r="D6" s="15"/>
      <c r="E6" s="15"/>
      <c r="F6" s="16"/>
      <c r="G6" s="15"/>
      <c r="H6" s="15"/>
      <c r="I6" s="15"/>
      <c r="J6" s="15"/>
      <c r="K6" s="15"/>
      <c r="L6" s="15"/>
      <c r="M6" s="16"/>
      <c r="N6" s="15"/>
      <c r="O6" s="16"/>
      <c r="P6" s="16"/>
      <c r="Q6" s="15"/>
      <c r="R6" s="18"/>
    </row>
    <row r="7" spans="1:18" ht="14.25">
      <c r="A7" s="14"/>
      <c r="B7" s="14"/>
      <c r="C7" s="14"/>
      <c r="D7" s="15"/>
      <c r="E7" s="15"/>
      <c r="F7" s="16"/>
      <c r="G7" s="15"/>
      <c r="H7" s="15"/>
      <c r="I7" s="15"/>
      <c r="J7" s="15"/>
      <c r="K7" s="15"/>
      <c r="L7" s="15"/>
      <c r="M7" s="16"/>
      <c r="N7" s="15"/>
      <c r="O7" s="16"/>
      <c r="P7" s="16"/>
      <c r="Q7" s="15"/>
      <c r="R7" s="18"/>
    </row>
    <row r="8" spans="1:18" ht="14.25">
      <c r="A8" s="14"/>
      <c r="B8" s="14"/>
      <c r="C8" s="14"/>
      <c r="D8" s="19"/>
      <c r="E8" s="14"/>
      <c r="F8" s="19"/>
      <c r="G8" s="14"/>
      <c r="H8" s="14"/>
      <c r="I8" s="14"/>
      <c r="J8" s="19"/>
      <c r="K8" s="19"/>
      <c r="L8" s="14"/>
      <c r="M8" s="90"/>
      <c r="N8" s="14"/>
      <c r="O8" s="14"/>
      <c r="P8" s="14"/>
      <c r="Q8" s="14"/>
      <c r="R8" s="14"/>
    </row>
    <row r="9" s="28" customFormat="1" ht="14.25">
      <c r="A9" s="28" t="s">
        <v>43</v>
      </c>
    </row>
    <row r="10" s="27" customFormat="1" ht="14.25">
      <c r="A10" s="27" t="s">
        <v>53</v>
      </c>
    </row>
    <row r="11" spans="1:18" ht="14.25">
      <c r="A11" s="14"/>
      <c r="B11" s="14"/>
      <c r="C11" s="14"/>
      <c r="D11" s="14"/>
      <c r="E11" s="14"/>
      <c r="F11" s="1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4.25">
      <c r="A12" s="14"/>
      <c r="B12" s="14"/>
      <c r="C12" s="14"/>
      <c r="D12" s="14"/>
      <c r="E12" s="14"/>
      <c r="F12" s="1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4.25">
      <c r="A13" s="14"/>
      <c r="B13" s="14"/>
      <c r="C13" s="14"/>
      <c r="D13" s="14"/>
      <c r="E13" s="14"/>
      <c r="F13" s="1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4.25">
      <c r="A14" s="14"/>
      <c r="B14" s="14"/>
      <c r="C14" s="14"/>
      <c r="D14" s="14"/>
      <c r="E14" s="14"/>
      <c r="F14" s="1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4.25">
      <c r="A15" s="14"/>
      <c r="B15" s="14"/>
      <c r="C15" s="14"/>
      <c r="D15" s="14"/>
      <c r="E15" s="14"/>
      <c r="F15" s="1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4.25">
      <c r="A16" s="14"/>
      <c r="B16" s="14"/>
      <c r="C16" s="14"/>
      <c r="D16" s="14"/>
      <c r="E16" s="14"/>
      <c r="F16" s="1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="14" customFormat="1" ht="14.25">
      <c r="F17" s="19"/>
    </row>
    <row r="18" s="14" customFormat="1" ht="14.25">
      <c r="F18" s="19"/>
    </row>
    <row r="19" s="14" customFormat="1" ht="14.25">
      <c r="F19" s="19"/>
    </row>
    <row r="20" s="14" customFormat="1" ht="14.25">
      <c r="F20" s="19"/>
    </row>
    <row r="21" s="14" customFormat="1" ht="14.25">
      <c r="F21" s="19"/>
    </row>
    <row r="22" s="14" customFormat="1" ht="14.25">
      <c r="F22" s="19"/>
    </row>
    <row r="23" s="14" customFormat="1" ht="14.25">
      <c r="F23" s="19"/>
    </row>
    <row r="24" s="14" customFormat="1" ht="14.25">
      <c r="F24" s="19"/>
    </row>
    <row r="25" s="14" customFormat="1" ht="14.25">
      <c r="F25" s="19"/>
    </row>
    <row r="26" s="14" customFormat="1" ht="14.25">
      <c r="F26" s="19"/>
    </row>
    <row r="27" s="14" customFormat="1" ht="14.25">
      <c r="F27" s="19"/>
    </row>
    <row r="28" s="14" customFormat="1" ht="14.25">
      <c r="F28" s="19"/>
    </row>
    <row r="29" s="14" customFormat="1" ht="14.25">
      <c r="F29" s="19"/>
    </row>
    <row r="30" s="14" customFormat="1" ht="14.25">
      <c r="F30" s="19"/>
    </row>
    <row r="31" s="14" customFormat="1" ht="14.25">
      <c r="F31" s="19"/>
    </row>
    <row r="32" s="14" customFormat="1" ht="14.25">
      <c r="F32" s="19"/>
    </row>
    <row r="33" s="14" customFormat="1" ht="14.25">
      <c r="F33" s="19"/>
    </row>
    <row r="34" s="14" customFormat="1" ht="14.25">
      <c r="F34" s="19"/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P2" sqref="P2:Q2"/>
    </sheetView>
  </sheetViews>
  <sheetFormatPr defaultColWidth="9.140625" defaultRowHeight="15"/>
  <cols>
    <col min="1" max="1" width="5.140625" style="1" customWidth="1"/>
    <col min="2" max="2" width="19.00390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9" width="9.00390625" style="14" customWidth="1"/>
    <col min="30" max="16384" width="9.00390625" style="1" customWidth="1"/>
  </cols>
  <sheetData>
    <row r="1" spans="1:20" ht="32.25" customHeight="1" thickBo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31"/>
      <c r="T1" s="31"/>
    </row>
    <row r="2" spans="1:20" ht="184.5" thickBot="1">
      <c r="A2" s="93" t="s">
        <v>54</v>
      </c>
      <c r="B2" s="42" t="s">
        <v>55</v>
      </c>
      <c r="C2" s="69" t="s">
        <v>0</v>
      </c>
      <c r="D2" s="65" t="s">
        <v>66</v>
      </c>
      <c r="E2" s="44" t="s">
        <v>67</v>
      </c>
      <c r="F2" s="65" t="s">
        <v>94</v>
      </c>
      <c r="G2" s="65" t="s">
        <v>95</v>
      </c>
      <c r="H2" s="65" t="s">
        <v>119</v>
      </c>
      <c r="I2" s="65" t="s">
        <v>120</v>
      </c>
      <c r="J2" s="65" t="s">
        <v>121</v>
      </c>
      <c r="K2" s="65" t="s">
        <v>122</v>
      </c>
      <c r="L2" s="44" t="s">
        <v>125</v>
      </c>
      <c r="M2" s="44" t="s">
        <v>124</v>
      </c>
      <c r="N2" s="44" t="s">
        <v>142</v>
      </c>
      <c r="O2" s="44" t="s">
        <v>143</v>
      </c>
      <c r="P2" s="44" t="s">
        <v>159</v>
      </c>
      <c r="Q2" s="44" t="s">
        <v>158</v>
      </c>
      <c r="R2" s="55" t="s">
        <v>1</v>
      </c>
      <c r="S2" s="29"/>
      <c r="T2" s="29"/>
    </row>
    <row r="3" spans="1:18" ht="14.25">
      <c r="A3" s="94" t="s">
        <v>56</v>
      </c>
      <c r="B3" s="98" t="s">
        <v>16</v>
      </c>
      <c r="C3" s="99" t="s">
        <v>30</v>
      </c>
      <c r="D3" s="103">
        <f>100-(75.03-62.77)/62.77*50</f>
        <v>90.23418830651585</v>
      </c>
      <c r="E3" s="100">
        <f>100-(109.55-104.22)/104.22*50</f>
        <v>97.442909230474</v>
      </c>
      <c r="F3" s="101">
        <f>100-(50.2-50.2)/50.2*50</f>
        <v>100</v>
      </c>
      <c r="G3" s="97" t="s">
        <v>52</v>
      </c>
      <c r="H3" s="108"/>
      <c r="I3" s="108"/>
      <c r="J3" s="101"/>
      <c r="K3" s="101"/>
      <c r="L3" s="113" t="s">
        <v>52</v>
      </c>
      <c r="M3" s="113" t="s">
        <v>52</v>
      </c>
      <c r="N3" s="108"/>
      <c r="O3" s="108"/>
      <c r="P3" s="108"/>
      <c r="Q3" s="99"/>
      <c r="R3" s="56">
        <f>SUM(D3:Q3)</f>
        <v>287.67709753698983</v>
      </c>
    </row>
    <row r="4" spans="1:18" ht="14.25">
      <c r="A4" s="87" t="s">
        <v>57</v>
      </c>
      <c r="B4" s="72" t="s">
        <v>21</v>
      </c>
      <c r="C4" s="71" t="s">
        <v>7</v>
      </c>
      <c r="D4" s="104">
        <f>100-(62.77-62.77)/62.77*50</f>
        <v>100</v>
      </c>
      <c r="E4" s="77">
        <f>100-(104.22-104.22)/104.22*50</f>
        <v>100</v>
      </c>
      <c r="F4" s="77"/>
      <c r="G4" s="78"/>
      <c r="H4" s="8"/>
      <c r="I4" s="7"/>
      <c r="J4" s="8"/>
      <c r="K4" s="8"/>
      <c r="L4" s="7"/>
      <c r="M4" s="8"/>
      <c r="N4" s="8"/>
      <c r="O4" s="7"/>
      <c r="P4" s="8"/>
      <c r="Q4" s="119"/>
      <c r="R4" s="57">
        <f>SUM(D4:Q4)</f>
        <v>200</v>
      </c>
    </row>
    <row r="5" spans="1:18" ht="15" thickBot="1">
      <c r="A5" s="88" t="s">
        <v>58</v>
      </c>
      <c r="B5" s="74" t="s">
        <v>29</v>
      </c>
      <c r="C5" s="92" t="s">
        <v>30</v>
      </c>
      <c r="D5" s="105">
        <f>100-(137.85-62.77)/62.77*50</f>
        <v>40.194360363230864</v>
      </c>
      <c r="E5" s="91">
        <f>100-(170.55-104.22)/104.22*50</f>
        <v>68.17789291882556</v>
      </c>
      <c r="F5" s="40"/>
      <c r="G5" s="36"/>
      <c r="H5" s="36"/>
      <c r="I5" s="36"/>
      <c r="J5" s="36"/>
      <c r="K5" s="36"/>
      <c r="L5" s="36"/>
      <c r="M5" s="40"/>
      <c r="N5" s="36"/>
      <c r="O5" s="40"/>
      <c r="P5" s="40"/>
      <c r="Q5" s="102"/>
      <c r="R5" s="58">
        <f>SUM(D5:Q5)</f>
        <v>108.37225328205642</v>
      </c>
    </row>
    <row r="6" spans="1:18" ht="14.25">
      <c r="A6" s="14"/>
      <c r="B6" s="14"/>
      <c r="C6" s="14"/>
      <c r="D6" s="15"/>
      <c r="E6" s="15"/>
      <c r="F6" s="16"/>
      <c r="G6" s="15"/>
      <c r="H6" s="15"/>
      <c r="I6" s="15"/>
      <c r="J6" s="15"/>
      <c r="K6" s="15"/>
      <c r="L6" s="15"/>
      <c r="M6" s="16"/>
      <c r="N6" s="15"/>
      <c r="O6" s="16"/>
      <c r="P6" s="16"/>
      <c r="Q6" s="15"/>
      <c r="R6" s="18"/>
    </row>
    <row r="7" spans="1:18" ht="14.25">
      <c r="A7" s="14"/>
      <c r="B7" s="14"/>
      <c r="C7" s="14"/>
      <c r="D7" s="15"/>
      <c r="E7" s="15"/>
      <c r="F7" s="16"/>
      <c r="G7" s="15"/>
      <c r="H7" s="15"/>
      <c r="I7" s="15"/>
      <c r="J7" s="15"/>
      <c r="K7" s="15"/>
      <c r="L7" s="15"/>
      <c r="M7" s="16"/>
      <c r="N7" s="15"/>
      <c r="O7" s="16"/>
      <c r="P7" s="16"/>
      <c r="Q7" s="15"/>
      <c r="R7" s="18"/>
    </row>
    <row r="8" spans="1:18" ht="14.25">
      <c r="A8" s="14"/>
      <c r="B8" s="14"/>
      <c r="C8" s="14"/>
      <c r="D8" s="19"/>
      <c r="E8" s="14"/>
      <c r="F8" s="19"/>
      <c r="G8" s="14"/>
      <c r="H8" s="14"/>
      <c r="I8" s="14"/>
      <c r="J8" s="19"/>
      <c r="K8" s="19"/>
      <c r="L8" s="14"/>
      <c r="M8" s="90"/>
      <c r="N8" s="14"/>
      <c r="O8" s="14"/>
      <c r="P8" s="14"/>
      <c r="Q8" s="14"/>
      <c r="R8" s="14"/>
    </row>
    <row r="9" s="28" customFormat="1" ht="14.25">
      <c r="A9" s="28" t="s">
        <v>43</v>
      </c>
    </row>
    <row r="10" s="27" customFormat="1" ht="14.25">
      <c r="A10" s="27" t="s">
        <v>53</v>
      </c>
    </row>
    <row r="11" spans="1:18" ht="14.25">
      <c r="A11" s="14"/>
      <c r="B11" s="14"/>
      <c r="C11" s="14"/>
      <c r="D11" s="14"/>
      <c r="E11" s="14"/>
      <c r="F11" s="1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4.25">
      <c r="A12" s="14"/>
      <c r="B12" s="14"/>
      <c r="C12" s="14"/>
      <c r="D12" s="14"/>
      <c r="E12" s="14"/>
      <c r="F12" s="1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4.25">
      <c r="A13" s="14"/>
      <c r="B13" s="14"/>
      <c r="C13" s="14"/>
      <c r="D13" s="14"/>
      <c r="E13" s="14"/>
      <c r="F13" s="1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4.25">
      <c r="A14" s="14"/>
      <c r="B14" s="14"/>
      <c r="C14" s="14"/>
      <c r="D14" s="14"/>
      <c r="E14" s="14"/>
      <c r="F14" s="1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4.25">
      <c r="A15" s="14"/>
      <c r="B15" s="14"/>
      <c r="C15" s="14"/>
      <c r="D15" s="14"/>
      <c r="E15" s="14"/>
      <c r="F15" s="1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4.25">
      <c r="A16" s="14"/>
      <c r="B16" s="14"/>
      <c r="C16" s="14"/>
      <c r="D16" s="14"/>
      <c r="E16" s="14"/>
      <c r="F16" s="1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="14" customFormat="1" ht="14.25">
      <c r="F17" s="19"/>
    </row>
    <row r="18" s="14" customFormat="1" ht="14.25">
      <c r="F18" s="19"/>
    </row>
    <row r="19" s="14" customFormat="1" ht="14.25">
      <c r="F19" s="19"/>
    </row>
    <row r="20" s="14" customFormat="1" ht="14.25">
      <c r="F20" s="19"/>
    </row>
    <row r="21" s="14" customFormat="1" ht="14.25">
      <c r="F21" s="19"/>
    </row>
    <row r="22" s="14" customFormat="1" ht="14.25">
      <c r="F22" s="19"/>
    </row>
    <row r="23" s="14" customFormat="1" ht="14.25">
      <c r="F23" s="19"/>
    </row>
    <row r="24" s="14" customFormat="1" ht="14.25">
      <c r="F24" s="19"/>
    </row>
    <row r="25" s="14" customFormat="1" ht="14.25">
      <c r="F25" s="19"/>
    </row>
    <row r="26" s="14" customFormat="1" ht="14.25">
      <c r="F26" s="19"/>
    </row>
    <row r="27" s="14" customFormat="1" ht="14.25">
      <c r="F27" s="19"/>
    </row>
    <row r="28" s="14" customFormat="1" ht="14.25">
      <c r="F28" s="19"/>
    </row>
    <row r="29" s="14" customFormat="1" ht="14.25">
      <c r="F29" s="19"/>
    </row>
    <row r="30" s="14" customFormat="1" ht="14.25">
      <c r="F30" s="19"/>
    </row>
    <row r="31" s="14" customFormat="1" ht="14.25">
      <c r="F31" s="19"/>
    </row>
    <row r="32" s="14" customFormat="1" ht="14.25">
      <c r="F32" s="19"/>
    </row>
    <row r="33" s="14" customFormat="1" ht="14.25">
      <c r="F33" s="19"/>
    </row>
    <row r="34" s="14" customFormat="1" ht="14.25">
      <c r="F34" s="19"/>
    </row>
  </sheetData>
  <sheetProtection/>
  <autoFilter ref="B2:R2">
    <sortState ref="B3:R34">
      <sortCondition descending="1" sortBy="value" ref="Q3:Q34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7" sqref="A7"/>
    </sheetView>
  </sheetViews>
  <sheetFormatPr defaultColWidth="9.140625" defaultRowHeight="15"/>
  <cols>
    <col min="1" max="1" width="5.140625" style="1" customWidth="1"/>
    <col min="2" max="2" width="25.8515625" style="1" customWidth="1"/>
    <col min="3" max="3" width="11.8515625" style="1" customWidth="1"/>
    <col min="4" max="5" width="9.140625" style="1" customWidth="1"/>
    <col min="6" max="6" width="9.140625" style="6" customWidth="1"/>
    <col min="7" max="18" width="9.140625" style="1" customWidth="1"/>
    <col min="19" max="28" width="9.00390625" style="14" customWidth="1"/>
    <col min="29" max="16384" width="9.00390625" style="1" customWidth="1"/>
  </cols>
  <sheetData>
    <row r="1" spans="1:20" ht="28.5" customHeight="1" thickBo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31"/>
      <c r="T1" s="31"/>
    </row>
    <row r="2" spans="1:20" ht="184.5" thickBot="1">
      <c r="A2" s="85" t="s">
        <v>54</v>
      </c>
      <c r="B2" s="42" t="s">
        <v>55</v>
      </c>
      <c r="C2" s="69" t="s">
        <v>0</v>
      </c>
      <c r="D2" s="65" t="s">
        <v>66</v>
      </c>
      <c r="E2" s="44" t="s">
        <v>67</v>
      </c>
      <c r="F2" s="65" t="s">
        <v>94</v>
      </c>
      <c r="G2" s="65" t="s">
        <v>95</v>
      </c>
      <c r="H2" s="65" t="s">
        <v>119</v>
      </c>
      <c r="I2" s="65" t="s">
        <v>120</v>
      </c>
      <c r="J2" s="65" t="s">
        <v>121</v>
      </c>
      <c r="K2" s="65" t="s">
        <v>122</v>
      </c>
      <c r="L2" s="44" t="s">
        <v>125</v>
      </c>
      <c r="M2" s="44" t="s">
        <v>124</v>
      </c>
      <c r="N2" s="44" t="s">
        <v>142</v>
      </c>
      <c r="O2" s="44" t="s">
        <v>143</v>
      </c>
      <c r="P2" s="44" t="s">
        <v>159</v>
      </c>
      <c r="Q2" s="44" t="s">
        <v>158</v>
      </c>
      <c r="R2" s="55" t="s">
        <v>1</v>
      </c>
      <c r="S2" s="29"/>
      <c r="T2" s="29"/>
    </row>
    <row r="3" spans="1:18" ht="14.25">
      <c r="A3" s="94" t="s">
        <v>56</v>
      </c>
      <c r="B3" s="98" t="s">
        <v>91</v>
      </c>
      <c r="C3" s="99" t="s">
        <v>9</v>
      </c>
      <c r="D3" s="132" t="s">
        <v>52</v>
      </c>
      <c r="E3" s="132" t="s">
        <v>52</v>
      </c>
      <c r="F3" s="101">
        <f>100-(63-40.38)/40.38*50</f>
        <v>71.99108469539377</v>
      </c>
      <c r="G3" s="101">
        <f>100-(64.63-57.53)/57.53*50</f>
        <v>93.82930644880932</v>
      </c>
      <c r="H3" s="108"/>
      <c r="I3" s="108"/>
      <c r="J3" s="132" t="s">
        <v>52</v>
      </c>
      <c r="K3" s="101">
        <f>100-(75.57-42.22)/42.22*50</f>
        <v>60.504500236854575</v>
      </c>
      <c r="L3" s="101">
        <f>100-(125.05-96.83)/96.83*50</f>
        <v>85.42806981307446</v>
      </c>
      <c r="M3" s="101"/>
      <c r="N3" s="101"/>
      <c r="O3" s="101"/>
      <c r="P3" s="101">
        <f>100-(60.22-47.97)/47.97*50</f>
        <v>87.23160308526163</v>
      </c>
      <c r="Q3" s="101">
        <f>100-(91.08-58.37)/58.37*50</f>
        <v>71.9804694192222</v>
      </c>
      <c r="R3" s="111">
        <f>SUM(D3:Q3)</f>
        <v>470.9650336986159</v>
      </c>
    </row>
    <row r="4" spans="1:18" ht="14.25">
      <c r="A4" s="87" t="s">
        <v>57</v>
      </c>
      <c r="B4" s="72" t="s">
        <v>90</v>
      </c>
      <c r="C4" s="73" t="s">
        <v>18</v>
      </c>
      <c r="D4" s="106" t="s">
        <v>52</v>
      </c>
      <c r="E4" s="106" t="s">
        <v>52</v>
      </c>
      <c r="F4" s="127"/>
      <c r="G4" s="77"/>
      <c r="H4" s="8"/>
      <c r="I4" s="8"/>
      <c r="J4" s="8"/>
      <c r="K4" s="8"/>
      <c r="L4" s="8"/>
      <c r="M4" s="10"/>
      <c r="N4" s="8">
        <f>100-(34.22-32.78)/32.78*50</f>
        <v>97.80353874313606</v>
      </c>
      <c r="O4" s="8">
        <f>100-(84.28-81.97)/81.97*50</f>
        <v>98.59094790777114</v>
      </c>
      <c r="P4" s="8">
        <f>100-(56.08-47.97)/47.97*50</f>
        <v>91.54680008338545</v>
      </c>
      <c r="Q4" s="47">
        <f>100-(69.15-58.37)/58.37*50</f>
        <v>90.76580435155044</v>
      </c>
      <c r="R4" s="57">
        <f>SUM(D4:Q4)</f>
        <v>378.7070910858431</v>
      </c>
    </row>
    <row r="5" spans="1:18" ht="14.25">
      <c r="A5" s="87" t="s">
        <v>130</v>
      </c>
      <c r="B5" s="72" t="s">
        <v>151</v>
      </c>
      <c r="C5" s="73" t="s">
        <v>149</v>
      </c>
      <c r="D5" s="11"/>
      <c r="E5" s="11"/>
      <c r="F5" s="3"/>
      <c r="G5" s="2"/>
      <c r="H5" s="2"/>
      <c r="I5" s="2"/>
      <c r="J5" s="2"/>
      <c r="K5" s="11"/>
      <c r="L5" s="13"/>
      <c r="M5" s="30"/>
      <c r="N5" s="8">
        <f>100-(32.78-32.78)/32.78*50</f>
        <v>100</v>
      </c>
      <c r="O5" s="8">
        <f>100-(81.97-81.97)/81.97*50</f>
        <v>100</v>
      </c>
      <c r="P5" s="2"/>
      <c r="Q5" s="2"/>
      <c r="R5" s="57">
        <f>SUM(D5:Q5)</f>
        <v>200</v>
      </c>
    </row>
    <row r="6" spans="1:18" ht="14.25">
      <c r="A6" s="87" t="s">
        <v>58</v>
      </c>
      <c r="B6" s="72" t="s">
        <v>169</v>
      </c>
      <c r="C6" s="73" t="s">
        <v>35</v>
      </c>
      <c r="D6" s="30"/>
      <c r="E6" s="8"/>
      <c r="F6" s="7"/>
      <c r="G6" s="7"/>
      <c r="H6" s="8"/>
      <c r="I6" s="8"/>
      <c r="J6" s="8"/>
      <c r="K6" s="8"/>
      <c r="L6" s="13"/>
      <c r="M6" s="8"/>
      <c r="N6" s="8"/>
      <c r="O6" s="8"/>
      <c r="P6" s="8">
        <f>100-(47.97-47.97)/47.97*50</f>
        <v>100</v>
      </c>
      <c r="Q6" s="47">
        <f>100-(58.37-58.37)/58.37*50</f>
        <v>100</v>
      </c>
      <c r="R6" s="57">
        <f>SUM(D6:Q6)</f>
        <v>200</v>
      </c>
    </row>
    <row r="7" spans="1:18" ht="14.25">
      <c r="A7" s="87" t="s">
        <v>60</v>
      </c>
      <c r="B7" s="72" t="s">
        <v>152</v>
      </c>
      <c r="C7" s="73" t="s">
        <v>89</v>
      </c>
      <c r="D7" s="30"/>
      <c r="E7" s="2"/>
      <c r="F7" s="3"/>
      <c r="G7" s="2"/>
      <c r="H7" s="2"/>
      <c r="I7" s="2"/>
      <c r="J7" s="2"/>
      <c r="K7" s="2"/>
      <c r="L7" s="59"/>
      <c r="M7" s="8"/>
      <c r="N7" s="8">
        <f>100-(42.42-32.78)/32.78*50</f>
        <v>85.29591214154972</v>
      </c>
      <c r="O7" s="8">
        <f>100-(137.92-81.97)/81.97*50</f>
        <v>65.87166036354765</v>
      </c>
      <c r="P7" s="2"/>
      <c r="Q7" s="48"/>
      <c r="R7" s="57">
        <f>SUM(D7:Q7)</f>
        <v>151.16757250509738</v>
      </c>
    </row>
    <row r="8" spans="1:18" ht="14.25">
      <c r="A8" s="87" t="s">
        <v>61</v>
      </c>
      <c r="B8" s="123" t="s">
        <v>131</v>
      </c>
      <c r="C8" s="73" t="s">
        <v>11</v>
      </c>
      <c r="D8" s="78"/>
      <c r="E8" s="8"/>
      <c r="F8" s="3"/>
      <c r="G8" s="2"/>
      <c r="H8" s="2"/>
      <c r="I8" s="2"/>
      <c r="J8" s="2"/>
      <c r="K8" s="8"/>
      <c r="L8" s="8">
        <f>100-(96.83-96.83)/96.83*50</f>
        <v>100</v>
      </c>
      <c r="M8" s="10" t="s">
        <v>52</v>
      </c>
      <c r="N8" s="8"/>
      <c r="O8" s="8"/>
      <c r="P8" s="2"/>
      <c r="Q8" s="48"/>
      <c r="R8" s="57">
        <f>SUM(D8:Q8)</f>
        <v>100</v>
      </c>
    </row>
    <row r="9" spans="1:18" ht="14.25">
      <c r="A9" s="87" t="s">
        <v>62</v>
      </c>
      <c r="B9" s="72" t="s">
        <v>170</v>
      </c>
      <c r="C9" s="73" t="s">
        <v>7</v>
      </c>
      <c r="D9" s="30"/>
      <c r="E9" s="2"/>
      <c r="F9" s="3"/>
      <c r="G9" s="2"/>
      <c r="H9" s="2"/>
      <c r="I9" s="2"/>
      <c r="J9" s="2"/>
      <c r="K9" s="2"/>
      <c r="L9" s="2"/>
      <c r="M9" s="10"/>
      <c r="N9" s="2"/>
      <c r="O9" s="2"/>
      <c r="P9" s="10" t="s">
        <v>52</v>
      </c>
      <c r="Q9" s="47">
        <f>100-(69.53-58.37)/58.37*50</f>
        <v>90.4402946719205</v>
      </c>
      <c r="R9" s="57">
        <f>SUM(D9:Q9)</f>
        <v>90.4402946719205</v>
      </c>
    </row>
    <row r="10" spans="1:18" ht="14.25">
      <c r="A10" s="87" t="s">
        <v>63</v>
      </c>
      <c r="B10" s="72" t="s">
        <v>45</v>
      </c>
      <c r="C10" s="73" t="s">
        <v>35</v>
      </c>
      <c r="D10" s="30"/>
      <c r="E10" s="2"/>
      <c r="F10" s="3"/>
      <c r="G10" s="2"/>
      <c r="H10" s="2"/>
      <c r="I10" s="2"/>
      <c r="J10" s="2"/>
      <c r="K10" s="2"/>
      <c r="L10" s="8">
        <f>100-(115.48-96.83)/96.83*50</f>
        <v>90.36972012805948</v>
      </c>
      <c r="M10" s="8"/>
      <c r="N10" s="2"/>
      <c r="O10" s="2"/>
      <c r="P10" s="2"/>
      <c r="Q10" s="2"/>
      <c r="R10" s="57">
        <f>SUM(D10:Q10)</f>
        <v>90.36972012805948</v>
      </c>
    </row>
    <row r="11" spans="1:18" ht="15" thickBot="1">
      <c r="A11" s="88" t="s">
        <v>64</v>
      </c>
      <c r="B11" s="74" t="s">
        <v>132</v>
      </c>
      <c r="C11" s="75" t="s">
        <v>33</v>
      </c>
      <c r="D11" s="60"/>
      <c r="E11" s="35"/>
      <c r="F11" s="50"/>
      <c r="G11" s="35"/>
      <c r="H11" s="35"/>
      <c r="I11" s="35"/>
      <c r="J11" s="35"/>
      <c r="K11" s="35"/>
      <c r="L11" s="37" t="s">
        <v>52</v>
      </c>
      <c r="M11" s="35"/>
      <c r="N11" s="36"/>
      <c r="O11" s="36"/>
      <c r="P11" s="35"/>
      <c r="Q11" s="35"/>
      <c r="R11" s="58">
        <f>SUM(D11:Q11)</f>
        <v>0</v>
      </c>
    </row>
    <row r="12" spans="1:18" ht="14.25">
      <c r="A12" s="14"/>
      <c r="B12" s="14"/>
      <c r="C12" s="14"/>
      <c r="D12" s="14"/>
      <c r="E12" s="14"/>
      <c r="F12" s="19"/>
      <c r="G12" s="14"/>
      <c r="H12" s="14"/>
      <c r="I12" s="14"/>
      <c r="J12" s="14"/>
      <c r="K12" s="14"/>
      <c r="L12" s="14"/>
      <c r="M12" s="95"/>
      <c r="N12" s="14"/>
      <c r="O12" s="14"/>
      <c r="P12" s="14"/>
      <c r="Q12" s="14"/>
      <c r="R12" s="18"/>
    </row>
    <row r="13" spans="1:18" ht="14.25">
      <c r="A13" s="14"/>
      <c r="B13" s="14"/>
      <c r="C13" s="14"/>
      <c r="D13" s="14"/>
      <c r="E13" s="14"/>
      <c r="F13" s="19"/>
      <c r="G13" s="14"/>
      <c r="H13" s="14"/>
      <c r="I13" s="14"/>
      <c r="J13" s="14"/>
      <c r="K13" s="14"/>
      <c r="L13" s="14"/>
      <c r="M13" s="14"/>
      <c r="N13" s="15"/>
      <c r="O13" s="15"/>
      <c r="P13" s="14"/>
      <c r="Q13" s="14"/>
      <c r="R13" s="18"/>
    </row>
    <row r="14" spans="1:18" ht="14.25">
      <c r="A14" s="14"/>
      <c r="B14" s="14"/>
      <c r="C14" s="14"/>
      <c r="D14" s="14"/>
      <c r="E14" s="14"/>
      <c r="F14" s="1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="28" customFormat="1" ht="14.25">
      <c r="A15" s="28" t="s">
        <v>43</v>
      </c>
    </row>
    <row r="16" s="27" customFormat="1" ht="14.25">
      <c r="A16" s="27" t="s">
        <v>53</v>
      </c>
    </row>
  </sheetData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vajda péter</dc:creator>
  <cp:keywords/>
  <dc:description/>
  <cp:lastModifiedBy>Tamás Tibor</cp:lastModifiedBy>
  <cp:lastPrinted>2013-09-16T13:15:53Z</cp:lastPrinted>
  <dcterms:created xsi:type="dcterms:W3CDTF">2011-04-21T09:51:37Z</dcterms:created>
  <dcterms:modified xsi:type="dcterms:W3CDTF">2014-09-30T08:20:31Z</dcterms:modified>
  <cp:category/>
  <cp:version/>
  <cp:contentType/>
  <cp:contentStatus/>
</cp:coreProperties>
</file>