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0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W21B" sheetId="9" r:id="rId9"/>
    <sheet name="M21B" sheetId="10" r:id="rId10"/>
    <sheet name="W40" sheetId="11" r:id="rId11"/>
    <sheet name="M40" sheetId="12" r:id="rId12"/>
    <sheet name="W50" sheetId="13" r:id="rId13"/>
    <sheet name="M50" sheetId="14" r:id="rId14"/>
    <sheet name="M60" sheetId="15" r:id="rId15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11" hidden="1">'M40'!$B$2:$R$2</definedName>
    <definedName name="_xlnm._FilterDatabase" localSheetId="13" hidden="1">'M50'!$B$2:$R$2</definedName>
    <definedName name="_xlnm._FilterDatabase" localSheetId="14" hidden="1">'M60'!$B$2:$R$2</definedName>
    <definedName name="_xlnm._FilterDatabase" localSheetId="1" hidden="1">'Női elit'!$B$2:$R$2</definedName>
  </definedNames>
  <calcPr fullCalcOnLoad="1"/>
</workbook>
</file>

<file path=xl/sharedStrings.xml><?xml version="1.0" encoding="utf-8"?>
<sst xmlns="http://schemas.openxmlformats.org/spreadsheetml/2006/main" count="418" uniqueCount="120">
  <si>
    <t>klub</t>
  </si>
  <si>
    <t>Össz pont</t>
  </si>
  <si>
    <t>OSC</t>
  </si>
  <si>
    <t>Rózsa László</t>
  </si>
  <si>
    <t>SPA</t>
  </si>
  <si>
    <t>Bihari Zoltán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</si>
  <si>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</si>
  <si>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</si>
  <si>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</si>
  <si>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</si>
  <si>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</si>
  <si>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</si>
  <si>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</si>
  <si>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</si>
  <si>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</si>
  <si>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</si>
  <si>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</si>
  <si>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KFK</t>
  </si>
  <si>
    <t>MAF</t>
  </si>
  <si>
    <t>Mets Miklós</t>
  </si>
  <si>
    <t>PSE</t>
  </si>
  <si>
    <t>Kirilla Péter</t>
  </si>
  <si>
    <t>Szabó Tamás</t>
  </si>
  <si>
    <t>VHS</t>
  </si>
  <si>
    <t>Holluby András</t>
  </si>
  <si>
    <t>BSC/VKE-Nelson</t>
  </si>
  <si>
    <t>Nagy András</t>
  </si>
  <si>
    <t>SMA</t>
  </si>
  <si>
    <t>Mesics Péter</t>
  </si>
  <si>
    <t>Jordán Soma</t>
  </si>
  <si>
    <t>DTC/Freeriderz SC</t>
  </si>
  <si>
    <t>Németh Zsolt</t>
  </si>
  <si>
    <t>Németh Zsoltné</t>
  </si>
  <si>
    <t>SAS</t>
  </si>
  <si>
    <t>Dosek Ágoston</t>
  </si>
  <si>
    <t>TTE</t>
  </si>
  <si>
    <t>Viraszkó Zoltán</t>
  </si>
  <si>
    <t>Benke Noémi</t>
  </si>
  <si>
    <t>Weiler Vince</t>
  </si>
  <si>
    <t>Tamás Bianka</t>
  </si>
  <si>
    <t>Weiler Zsolt</t>
  </si>
  <si>
    <t>Egei Balázs</t>
  </si>
  <si>
    <t>Balogh Zsombor</t>
  </si>
  <si>
    <t>Kieső pontok</t>
  </si>
  <si>
    <t>Domán Gábor</t>
  </si>
  <si>
    <t>Cseresnyés Ágnes</t>
  </si>
  <si>
    <t>Egei Tamás</t>
  </si>
  <si>
    <t>Kiss Vivien</t>
  </si>
  <si>
    <t>Egei Patrik</t>
  </si>
  <si>
    <t>Köllöd Róbert</t>
  </si>
  <si>
    <t>Pénzes Erzsébet</t>
  </si>
  <si>
    <t>Tóth Zoltán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</si>
  <si>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</si>
  <si>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</si>
  <si>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</si>
  <si>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</si>
  <si>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</si>
  <si>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</si>
  <si>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</si>
  <si>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</si>
  <si>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</si>
  <si>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</si>
  <si>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</si>
  <si>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</si>
  <si>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</si>
  <si>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</si>
  <si>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Maccabi Kupa középtáv Bátaapáti 04.26</t>
  </si>
  <si>
    <t>Magyar Hosszútávú Bajnokság Bátaapáti 04.27</t>
  </si>
  <si>
    <t>* 2014. évre jelenleg nincs érvényes versenyengedélye</t>
  </si>
  <si>
    <t>Domán Rajmund</t>
  </si>
  <si>
    <t>Magyar Kupa 2014</t>
  </si>
  <si>
    <t>Zoboki Mihály</t>
  </si>
  <si>
    <t>Kinde Kálmán</t>
  </si>
  <si>
    <t>Tóth Gergely</t>
  </si>
  <si>
    <t>KOS</t>
  </si>
  <si>
    <t>Balázs Ottó</t>
  </si>
  <si>
    <t>Vekerdy Zoltán</t>
  </si>
  <si>
    <t>BEA</t>
  </si>
  <si>
    <t>Kinde Vanda</t>
  </si>
  <si>
    <t>Egei Petra</t>
  </si>
  <si>
    <t>Krasznai Orsolya</t>
  </si>
  <si>
    <t>Lizán Péter</t>
  </si>
  <si>
    <t>11.</t>
  </si>
  <si>
    <t>Bunyik László</t>
  </si>
  <si>
    <t>MEA</t>
  </si>
  <si>
    <t>Kardos Ferenc dr.</t>
  </si>
  <si>
    <t>Hidas Sándor</t>
  </si>
  <si>
    <t>Hidas Zoltán</t>
  </si>
  <si>
    <t>Vajda Péter</t>
  </si>
  <si>
    <t>Lindenberger Béla</t>
  </si>
  <si>
    <t>EK</t>
  </si>
  <si>
    <t>Horváth Adrienn</t>
  </si>
  <si>
    <t>Vajda-Kovács Ágnes</t>
  </si>
  <si>
    <t>Kézsmárki Ágnes</t>
  </si>
  <si>
    <t>Kárpáti Gábor</t>
  </si>
  <si>
    <t>Magyar kupa középtáv Csöde 05.31</t>
  </si>
  <si>
    <t>Magyar kupa hosszútáv Csöde 06.01</t>
  </si>
  <si>
    <t>Németh Bence</t>
  </si>
  <si>
    <t>Csiszár Barnabás</t>
  </si>
  <si>
    <t>ZTC</t>
  </si>
  <si>
    <t>Takács Ticián</t>
  </si>
  <si>
    <t>Fekete Ágoston</t>
  </si>
  <si>
    <t>Marosffy Bálint</t>
  </si>
  <si>
    <t>Marosffy Dániel</t>
  </si>
  <si>
    <t xml:space="preserve">Dankó István </t>
  </si>
  <si>
    <t>Serestey Áron</t>
  </si>
  <si>
    <t>Szűcs Péter</t>
  </si>
  <si>
    <t>CSP</t>
  </si>
  <si>
    <t>Gillich István</t>
  </si>
  <si>
    <t>Marosffy Orsolya</t>
  </si>
  <si>
    <t>Németh Ágne dr.</t>
  </si>
  <si>
    <t>Szabó Erika</t>
  </si>
  <si>
    <t>SZT</t>
  </si>
  <si>
    <t>Gillichné Kalocsai Aderenn dr.</t>
  </si>
  <si>
    <t>Koczka Gabriella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</si>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</sst>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2" fontId="1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9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textRotation="180" wrapText="1"/>
    </xf>
    <xf numFmtId="0" fontId="17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/>
    </xf>
    <xf numFmtId="2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7" fillId="0" borderId="26" xfId="0" applyFont="1" applyFill="1" applyBorder="1" applyAlignment="1">
      <alignment horizontal="center" vertical="center" textRotation="180" wrapText="1"/>
    </xf>
    <xf numFmtId="2" fontId="0" fillId="0" borderId="14" xfId="0" applyNumberForma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7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 textRotation="180" wrapText="1"/>
    </xf>
    <xf numFmtId="0" fontId="18" fillId="0" borderId="3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17" fillId="0" borderId="3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17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5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18" fillId="0" borderId="45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13" fillId="0" borderId="32" xfId="0" applyFont="1" applyFill="1" applyBorder="1" applyAlignment="1">
      <alignment horizontal="right"/>
    </xf>
    <xf numFmtId="0" fontId="13" fillId="0" borderId="46" xfId="0" applyFont="1" applyFill="1" applyBorder="1" applyAlignment="1">
      <alignment/>
    </xf>
    <xf numFmtId="0" fontId="0" fillId="0" borderId="45" xfId="0" applyFill="1" applyBorder="1" applyAlignment="1">
      <alignment/>
    </xf>
    <xf numFmtId="2" fontId="13" fillId="0" borderId="47" xfId="0" applyNumberFormat="1" applyFont="1" applyFill="1" applyBorder="1" applyAlignment="1">
      <alignment/>
    </xf>
    <xf numFmtId="2" fontId="0" fillId="0" borderId="50" xfId="0" applyNumberFormat="1" applyFill="1" applyBorder="1" applyAlignment="1">
      <alignment/>
    </xf>
    <xf numFmtId="2" fontId="13" fillId="0" borderId="51" xfId="0" applyNumberFormat="1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3" fillId="0" borderId="51" xfId="0" applyFont="1" applyFill="1" applyBorder="1" applyAlignment="1">
      <alignment/>
    </xf>
    <xf numFmtId="2" fontId="18" fillId="0" borderId="53" xfId="0" applyNumberFormat="1" applyFont="1" applyFill="1" applyBorder="1" applyAlignment="1">
      <alignment/>
    </xf>
    <xf numFmtId="2" fontId="0" fillId="0" borderId="54" xfId="0" applyNumberFormat="1" applyFill="1" applyBorder="1" applyAlignment="1">
      <alignment/>
    </xf>
    <xf numFmtId="2" fontId="0" fillId="0" borderId="55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5" customWidth="1"/>
    <col min="34" max="16384" width="9.00390625" style="1" customWidth="1"/>
  </cols>
  <sheetData>
    <row r="1" spans="1:20" ht="30.7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33" s="5" customFormat="1" ht="120.75" customHeight="1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2" customFormat="1" ht="14.25">
      <c r="A3" s="118" t="s">
        <v>56</v>
      </c>
      <c r="B3" s="101" t="s">
        <v>46</v>
      </c>
      <c r="C3" s="102" t="s">
        <v>4</v>
      </c>
      <c r="D3" s="103"/>
      <c r="E3" s="104">
        <f>100-(125.32-114.93)/114.93*50</f>
        <v>95.47985730444618</v>
      </c>
      <c r="F3" s="104">
        <f>100-(61.85-61.85)/61.85*50</f>
        <v>100</v>
      </c>
      <c r="G3" s="104">
        <f>100-(120.27-103.25)/103.25*50</f>
        <v>91.75786924939467</v>
      </c>
      <c r="H3" s="104"/>
      <c r="I3" s="104"/>
      <c r="J3" s="104"/>
      <c r="K3" s="104"/>
      <c r="L3" s="104"/>
      <c r="M3" s="100"/>
      <c r="N3" s="104"/>
      <c r="O3" s="105"/>
      <c r="P3" s="104"/>
      <c r="Q3" s="114"/>
      <c r="R3" s="115">
        <f aca="true" t="shared" si="0" ref="R3:R17">SUM(D3:Q3)</f>
        <v>287.23772655384084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2" customFormat="1" ht="14.25">
      <c r="A4" s="66" t="s">
        <v>57</v>
      </c>
      <c r="B4" s="75" t="s">
        <v>24</v>
      </c>
      <c r="C4" s="76" t="s">
        <v>20</v>
      </c>
      <c r="D4" s="80">
        <f>100-(65.77-65.77)/65.77*50</f>
        <v>100</v>
      </c>
      <c r="E4" s="48" t="s">
        <v>52</v>
      </c>
      <c r="F4" s="8">
        <f>100-(64.47-61.85)/61.85*50</f>
        <v>97.88197251414714</v>
      </c>
      <c r="G4" s="8">
        <f>100-(129.13-103.25)/103.25*50</f>
        <v>87.46731234866829</v>
      </c>
      <c r="H4" s="8"/>
      <c r="I4" s="8"/>
      <c r="J4" s="8"/>
      <c r="K4" s="8"/>
      <c r="L4" s="8"/>
      <c r="M4" s="8"/>
      <c r="N4" s="8"/>
      <c r="O4" s="8"/>
      <c r="P4" s="8"/>
      <c r="Q4" s="49"/>
      <c r="R4" s="60">
        <f t="shared" si="0"/>
        <v>285.34928486281547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2" customFormat="1" ht="14.25">
      <c r="A5" s="66" t="s">
        <v>58</v>
      </c>
      <c r="B5" s="75" t="s">
        <v>3</v>
      </c>
      <c r="C5" s="76" t="s">
        <v>11</v>
      </c>
      <c r="D5" s="80">
        <f>100-(72.32-65.77)/65.77*50</f>
        <v>95.02052607571841</v>
      </c>
      <c r="E5" s="80">
        <f>100-(114.93-114.93)/114.93*50</f>
        <v>100</v>
      </c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49"/>
      <c r="R5" s="60">
        <f t="shared" si="0"/>
        <v>195.0205260757184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2" customFormat="1" ht="14.25">
      <c r="A6" s="66" t="s">
        <v>59</v>
      </c>
      <c r="B6" s="75" t="s">
        <v>51</v>
      </c>
      <c r="C6" s="76" t="s">
        <v>33</v>
      </c>
      <c r="D6" s="80">
        <f>100-(67.92-65.77)/65.77*50</f>
        <v>98.36551619279307</v>
      </c>
      <c r="E6" s="80">
        <f>100-(140.18-114.93)/114.93*50</f>
        <v>89.01505264073784</v>
      </c>
      <c r="F6" s="7"/>
      <c r="G6" s="8"/>
      <c r="H6" s="8"/>
      <c r="I6" s="8"/>
      <c r="J6" s="7"/>
      <c r="K6" s="8"/>
      <c r="L6" s="8"/>
      <c r="M6" s="8"/>
      <c r="N6" s="8"/>
      <c r="O6" s="8"/>
      <c r="P6" s="8"/>
      <c r="Q6" s="49"/>
      <c r="R6" s="60">
        <f t="shared" si="0"/>
        <v>187.3805688335309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" customFormat="1" ht="14.25">
      <c r="A7" s="66" t="s">
        <v>60</v>
      </c>
      <c r="B7" s="75" t="s">
        <v>69</v>
      </c>
      <c r="C7" s="76" t="s">
        <v>9</v>
      </c>
      <c r="D7" s="80">
        <f>100-(93.77-65.77)/65.77*50</f>
        <v>78.71369925497947</v>
      </c>
      <c r="E7" s="80">
        <f>100-(186.92-114.93)/114.93*50</f>
        <v>68.68093622204822</v>
      </c>
      <c r="F7" s="119"/>
      <c r="G7" s="8"/>
      <c r="H7" s="8"/>
      <c r="I7" s="8"/>
      <c r="J7" s="8"/>
      <c r="K7" s="8"/>
      <c r="L7" s="8"/>
      <c r="M7" s="8"/>
      <c r="N7" s="8"/>
      <c r="O7" s="8"/>
      <c r="P7" s="8"/>
      <c r="Q7" s="49"/>
      <c r="R7" s="60">
        <f t="shared" si="0"/>
        <v>147.3946354770277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2" customFormat="1" ht="14.25">
      <c r="A8" s="66" t="s">
        <v>61</v>
      </c>
      <c r="B8" s="75" t="s">
        <v>6</v>
      </c>
      <c r="C8" s="76" t="s">
        <v>25</v>
      </c>
      <c r="D8" s="81">
        <f>100-(66.53-65.77)/65.77*50</f>
        <v>99.42222897977801</v>
      </c>
      <c r="E8" s="110" t="s">
        <v>52</v>
      </c>
      <c r="F8" s="7"/>
      <c r="G8" s="7"/>
      <c r="H8" s="8"/>
      <c r="I8" s="8"/>
      <c r="J8" s="8"/>
      <c r="K8" s="8"/>
      <c r="L8" s="8"/>
      <c r="M8" s="8"/>
      <c r="N8" s="7"/>
      <c r="O8" s="7"/>
      <c r="P8" s="8"/>
      <c r="Q8" s="49"/>
      <c r="R8" s="60">
        <f t="shared" si="0"/>
        <v>99.42222897977801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" customFormat="1" ht="14.25">
      <c r="A9" s="66" t="s">
        <v>62</v>
      </c>
      <c r="B9" s="75" t="s">
        <v>12</v>
      </c>
      <c r="C9" s="74" t="s">
        <v>30</v>
      </c>
      <c r="D9" s="81"/>
      <c r="E9" s="80">
        <f>100-(139.83-114.93)/114.93*50</f>
        <v>89.16731923779692</v>
      </c>
      <c r="F9" s="7"/>
      <c r="G9" s="8"/>
      <c r="H9" s="8"/>
      <c r="I9" s="8"/>
      <c r="J9" s="8"/>
      <c r="K9" s="8"/>
      <c r="L9" s="8"/>
      <c r="M9" s="11"/>
      <c r="N9" s="8"/>
      <c r="O9" s="8"/>
      <c r="P9" s="8"/>
      <c r="Q9" s="49"/>
      <c r="R9" s="60">
        <f t="shared" si="0"/>
        <v>89.16731923779692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14.25">
      <c r="A10" s="66" t="s">
        <v>63</v>
      </c>
      <c r="B10" s="75" t="s">
        <v>5</v>
      </c>
      <c r="C10" s="76" t="s">
        <v>17</v>
      </c>
      <c r="D10" s="81"/>
      <c r="E10" s="80">
        <f>100-(143.12-114.93)/114.93*50</f>
        <v>87.73601322544158</v>
      </c>
      <c r="F10" s="7"/>
      <c r="G10" s="110" t="s">
        <v>52</v>
      </c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87.73601322544158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2" customFormat="1" ht="14.25">
      <c r="A11" s="66" t="s">
        <v>64</v>
      </c>
      <c r="B11" s="75" t="s">
        <v>97</v>
      </c>
      <c r="C11" s="76" t="s">
        <v>23</v>
      </c>
      <c r="D11" s="81"/>
      <c r="E11" s="80"/>
      <c r="F11" s="8">
        <f>100-(82.63-61.85)/61.85*50</f>
        <v>83.20129345189976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49"/>
      <c r="R11" s="60">
        <f t="shared" si="0"/>
        <v>83.20129345189976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2" customFormat="1" ht="14.25">
      <c r="A12" s="66" t="s">
        <v>65</v>
      </c>
      <c r="B12" s="75" t="s">
        <v>8</v>
      </c>
      <c r="C12" s="76" t="s">
        <v>9</v>
      </c>
      <c r="D12" s="81"/>
      <c r="E12" s="80">
        <f>100-(154.68-114.93)/114.93*50</f>
        <v>82.70686504829027</v>
      </c>
      <c r="F12" s="7"/>
      <c r="G12" s="8"/>
      <c r="H12" s="8"/>
      <c r="I12" s="8"/>
      <c r="J12" s="8"/>
      <c r="K12" s="8"/>
      <c r="L12" s="8"/>
      <c r="M12" s="7"/>
      <c r="N12" s="8"/>
      <c r="O12" s="8"/>
      <c r="P12" s="8"/>
      <c r="Q12" s="49"/>
      <c r="R12" s="60">
        <f t="shared" si="0"/>
        <v>82.70686504829027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14.25">
      <c r="A13" s="66" t="s">
        <v>82</v>
      </c>
      <c r="B13" s="75" t="s">
        <v>36</v>
      </c>
      <c r="C13" s="76" t="s">
        <v>7</v>
      </c>
      <c r="D13" s="82"/>
      <c r="E13" s="80">
        <f>100-(159.83-114.93)/114.93*50</f>
        <v>80.46637083442096</v>
      </c>
      <c r="F13" s="7"/>
      <c r="G13" s="8"/>
      <c r="H13" s="8"/>
      <c r="I13" s="8"/>
      <c r="J13" s="7"/>
      <c r="K13" s="8"/>
      <c r="L13" s="8"/>
      <c r="M13" s="8"/>
      <c r="N13" s="7"/>
      <c r="O13" s="8"/>
      <c r="P13" s="7"/>
      <c r="Q13" s="49"/>
      <c r="R13" s="60">
        <f t="shared" si="0"/>
        <v>80.46637083442096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14.25">
      <c r="A14" s="66" t="s">
        <v>115</v>
      </c>
      <c r="B14" s="75" t="s">
        <v>94</v>
      </c>
      <c r="C14" s="76" t="s">
        <v>90</v>
      </c>
      <c r="D14" s="32"/>
      <c r="E14" s="8">
        <f>100-(184.38-114.93)/114.93*50</f>
        <v>69.78595666927696</v>
      </c>
      <c r="F14" s="3"/>
      <c r="J14" s="8"/>
      <c r="L14" s="8"/>
      <c r="M14" s="8"/>
      <c r="Q14" s="49"/>
      <c r="R14" s="60">
        <f t="shared" si="0"/>
        <v>69.78595666927696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" customFormat="1" ht="14.25">
      <c r="A15" s="66"/>
      <c r="B15" s="75"/>
      <c r="C15" s="76"/>
      <c r="D15" s="81"/>
      <c r="E15" s="8"/>
      <c r="F15" s="7"/>
      <c r="G15" s="8"/>
      <c r="H15" s="9"/>
      <c r="I15" s="8"/>
      <c r="J15" s="8"/>
      <c r="K15" s="8"/>
      <c r="L15" s="8"/>
      <c r="M15" s="8"/>
      <c r="N15" s="8"/>
      <c r="O15" s="8"/>
      <c r="P15" s="8"/>
      <c r="Q15" s="49"/>
      <c r="R15" s="60">
        <f t="shared" si="0"/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2" customFormat="1" ht="14.25">
      <c r="A16" s="66"/>
      <c r="B16" s="75"/>
      <c r="C16" s="76"/>
      <c r="D16" s="32"/>
      <c r="F16" s="3"/>
      <c r="J16" s="8"/>
      <c r="L16" s="8"/>
      <c r="M16" s="8"/>
      <c r="Q16" s="50"/>
      <c r="R16" s="60">
        <f t="shared" si="0"/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2" customFormat="1" ht="15" thickBot="1">
      <c r="A17" s="67"/>
      <c r="B17" s="77"/>
      <c r="C17" s="78"/>
      <c r="D17" s="83"/>
      <c r="E17" s="38"/>
      <c r="F17" s="42"/>
      <c r="G17" s="38"/>
      <c r="H17" s="39"/>
      <c r="I17" s="38"/>
      <c r="J17" s="38"/>
      <c r="K17" s="38"/>
      <c r="L17" s="38"/>
      <c r="M17" s="38"/>
      <c r="N17" s="38"/>
      <c r="O17" s="38"/>
      <c r="P17" s="38"/>
      <c r="Q17" s="79"/>
      <c r="R17" s="61">
        <f t="shared" si="0"/>
        <v>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4:18" s="15" customFormat="1" ht="14.25">
      <c r="D18" s="16"/>
      <c r="E18" s="16"/>
      <c r="F18" s="17"/>
      <c r="G18" s="16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9"/>
    </row>
    <row r="19" spans="6:18" s="15" customFormat="1" ht="14.25">
      <c r="F19" s="20"/>
      <c r="J19" s="16"/>
      <c r="L19" s="16"/>
      <c r="N19" s="16"/>
      <c r="O19" s="16"/>
      <c r="R19" s="19"/>
    </row>
    <row r="20" spans="1:18" ht="14.25">
      <c r="A20" s="15"/>
      <c r="B20" s="15"/>
      <c r="C20" s="15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="29" customFormat="1" ht="14.25">
      <c r="A21" s="29" t="s">
        <v>68</v>
      </c>
    </row>
    <row r="22" s="30" customFormat="1" ht="14.25">
      <c r="A22" s="30" t="s">
        <v>43</v>
      </c>
    </row>
    <row r="23" s="29" customFormat="1" ht="14.25">
      <c r="A23" s="29" t="s">
        <v>53</v>
      </c>
    </row>
  </sheetData>
  <sheetProtection/>
  <autoFilter ref="B2:U2">
    <sortState ref="B3:U23">
      <sortCondition descending="1" sortBy="value" ref="Q3:Q23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7" sqref="A7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87</v>
      </c>
      <c r="C3" s="74" t="s">
        <v>33</v>
      </c>
      <c r="D3" s="14">
        <f>100-(67.62-67.62)/67.62*50</f>
        <v>100</v>
      </c>
      <c r="E3" s="14">
        <f>100-(91.15-91.15)/91.15*50</f>
        <v>100</v>
      </c>
      <c r="F3" s="43"/>
      <c r="G3" s="14"/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 aca="true" t="shared" si="0" ref="R3:R11">SUM(D3:Q3)</f>
        <v>200</v>
      </c>
    </row>
    <row r="4" spans="1:18" ht="14.25">
      <c r="A4" s="90" t="s">
        <v>57</v>
      </c>
      <c r="B4" s="75" t="s">
        <v>88</v>
      </c>
      <c r="C4" s="76" t="s">
        <v>9</v>
      </c>
      <c r="D4" s="14">
        <f>100-(93.62-67.62)/67.62*50</f>
        <v>80.77491866311742</v>
      </c>
      <c r="E4" s="14">
        <f>100-(126.78-91.15)/91.15*50</f>
        <v>80.45529347229842</v>
      </c>
      <c r="F4" s="3"/>
      <c r="G4" s="2"/>
      <c r="H4" s="2"/>
      <c r="I4" s="2"/>
      <c r="J4" s="2"/>
      <c r="K4" s="2"/>
      <c r="L4" s="2"/>
      <c r="M4" s="8"/>
      <c r="N4" s="8"/>
      <c r="O4" s="8"/>
      <c r="P4" s="2"/>
      <c r="Q4" s="50"/>
      <c r="R4" s="60">
        <f t="shared" si="0"/>
        <v>161.23021213541585</v>
      </c>
    </row>
    <row r="5" spans="1:18" ht="14.25">
      <c r="A5" s="90" t="s">
        <v>58</v>
      </c>
      <c r="B5" s="75" t="s">
        <v>89</v>
      </c>
      <c r="C5" s="76" t="s">
        <v>90</v>
      </c>
      <c r="D5" s="14">
        <f>100-(111.63-67.62)/67.62*50</f>
        <v>67.45785270629992</v>
      </c>
      <c r="E5" s="14">
        <f>100-(104.5-91.15)/91.15*50</f>
        <v>92.67690619857379</v>
      </c>
      <c r="F5" s="3"/>
      <c r="G5" s="2"/>
      <c r="H5" s="2"/>
      <c r="I5" s="2"/>
      <c r="J5" s="2"/>
      <c r="K5" s="2"/>
      <c r="L5" s="2"/>
      <c r="M5" s="2"/>
      <c r="N5" s="8"/>
      <c r="O5" s="8"/>
      <c r="P5" s="2"/>
      <c r="Q5" s="50"/>
      <c r="R5" s="60">
        <f>SUM(D5:Q5)</f>
        <v>160.1347589048737</v>
      </c>
    </row>
    <row r="6" spans="1:18" ht="14.25">
      <c r="A6" s="90" t="s">
        <v>59</v>
      </c>
      <c r="B6" s="75" t="s">
        <v>97</v>
      </c>
      <c r="C6" s="76" t="s">
        <v>23</v>
      </c>
      <c r="D6" s="32"/>
      <c r="E6" s="2"/>
      <c r="F6" s="3"/>
      <c r="G6" s="14">
        <f>100-(100.47-89.78)/89.78*50</f>
        <v>94.04655825350858</v>
      </c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94.04655825350858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29" customFormat="1" ht="14.25">
      <c r="A15" s="29" t="s">
        <v>68</v>
      </c>
    </row>
    <row r="16" s="30" customFormat="1" ht="14.25">
      <c r="A16" s="30" t="s">
        <v>43</v>
      </c>
    </row>
    <row r="17" s="29" customFormat="1" ht="14.25">
      <c r="A17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0" sqref="A10"/>
    </sheetView>
  </sheetViews>
  <sheetFormatPr defaultColWidth="9.140625" defaultRowHeight="15"/>
  <cols>
    <col min="1" max="1" width="5.140625" style="1" customWidth="1"/>
    <col min="2" max="2" width="25.281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32</v>
      </c>
      <c r="C3" s="74" t="s">
        <v>23</v>
      </c>
      <c r="D3" s="62"/>
      <c r="E3" s="14">
        <f>100-(116.8-116.8)/116.8*50</f>
        <v>100</v>
      </c>
      <c r="F3" s="14">
        <f>100-(64.7-58.88)/58.88*50</f>
        <v>95.05774456521739</v>
      </c>
      <c r="G3" s="14">
        <f>100-(127.67-103.5)/103.5*50</f>
        <v>88.32367149758454</v>
      </c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 aca="true" t="shared" si="0" ref="R3:R11">SUM(D3:Q3)</f>
        <v>283.3814160628019</v>
      </c>
    </row>
    <row r="4" spans="1:18" ht="14.25">
      <c r="A4" s="90" t="s">
        <v>57</v>
      </c>
      <c r="B4" s="75" t="s">
        <v>45</v>
      </c>
      <c r="C4" s="76" t="s">
        <v>35</v>
      </c>
      <c r="D4" s="32"/>
      <c r="E4" s="14">
        <f>100-(126.35-116.8)/116.8*50</f>
        <v>95.91181506849315</v>
      </c>
      <c r="F4" s="14">
        <f>100-(75.02-58.88)/58.88*50</f>
        <v>86.29415760869566</v>
      </c>
      <c r="G4" s="14">
        <f>100-(154.58-103.5)/103.5*50</f>
        <v>75.32367149758454</v>
      </c>
      <c r="H4" s="2"/>
      <c r="I4" s="2"/>
      <c r="J4" s="2"/>
      <c r="K4" s="2"/>
      <c r="L4" s="2"/>
      <c r="M4" s="8"/>
      <c r="N4" s="8"/>
      <c r="O4" s="8"/>
      <c r="P4" s="2"/>
      <c r="Q4" s="50"/>
      <c r="R4" s="60">
        <f t="shared" si="0"/>
        <v>257.52964417477335</v>
      </c>
    </row>
    <row r="5" spans="1:18" ht="14.25">
      <c r="A5" s="90" t="s">
        <v>58</v>
      </c>
      <c r="B5" s="75" t="s">
        <v>109</v>
      </c>
      <c r="C5" s="76" t="s">
        <v>2</v>
      </c>
      <c r="D5" s="62"/>
      <c r="E5" s="12"/>
      <c r="F5" s="8">
        <f>100-(58.88-58.88)/58.88*50</f>
        <v>100</v>
      </c>
      <c r="G5" s="8">
        <f>100-(103.5-103.5)/103.5*50</f>
        <v>100</v>
      </c>
      <c r="H5" s="2"/>
      <c r="I5" s="2"/>
      <c r="J5" s="2"/>
      <c r="K5" s="2"/>
      <c r="L5" s="8"/>
      <c r="M5" s="8"/>
      <c r="N5" s="2"/>
      <c r="O5" s="2"/>
      <c r="P5" s="2"/>
      <c r="Q5" s="50"/>
      <c r="R5" s="60">
        <f t="shared" si="0"/>
        <v>200</v>
      </c>
    </row>
    <row r="6" spans="1:18" ht="14.25">
      <c r="A6" s="90" t="s">
        <v>59</v>
      </c>
      <c r="B6" s="75" t="s">
        <v>110</v>
      </c>
      <c r="C6" s="76" t="s">
        <v>35</v>
      </c>
      <c r="D6" s="32"/>
      <c r="E6" s="2"/>
      <c r="F6" s="14">
        <f>100-(77.45-58.88)/58.88*50</f>
        <v>84.23063858695652</v>
      </c>
      <c r="G6" s="14">
        <f>100-(122.87-103.5)/103.5*50</f>
        <v>90.64251207729468</v>
      </c>
      <c r="H6" s="2"/>
      <c r="I6" s="2"/>
      <c r="J6" s="2"/>
      <c r="K6" s="2"/>
      <c r="L6" s="2"/>
      <c r="M6" s="2"/>
      <c r="N6" s="8"/>
      <c r="O6" s="8"/>
      <c r="P6" s="2"/>
      <c r="Q6" s="50"/>
      <c r="R6" s="60">
        <f t="shared" si="0"/>
        <v>174.8731506642512</v>
      </c>
    </row>
    <row r="7" spans="1:18" ht="14.25">
      <c r="A7" s="90" t="s">
        <v>60</v>
      </c>
      <c r="B7" s="75" t="s">
        <v>111</v>
      </c>
      <c r="C7" s="76" t="s">
        <v>112</v>
      </c>
      <c r="D7" s="32"/>
      <c r="E7" s="2"/>
      <c r="F7" s="14">
        <f>100-(85.78-58.88)/58.88*50</f>
        <v>77.1569293478261</v>
      </c>
      <c r="G7" s="14">
        <f>100-(122.33-103.5)/103.5*50</f>
        <v>90.90338164251207</v>
      </c>
      <c r="H7" s="2"/>
      <c r="I7" s="2"/>
      <c r="J7" s="2"/>
      <c r="K7" s="2"/>
      <c r="L7" s="8"/>
      <c r="M7" s="2"/>
      <c r="N7" s="2"/>
      <c r="O7" s="2"/>
      <c r="P7" s="2"/>
      <c r="Q7" s="50"/>
      <c r="R7" s="60">
        <f t="shared" si="0"/>
        <v>168.06031099033817</v>
      </c>
    </row>
    <row r="8" spans="1:18" ht="14.25">
      <c r="A8" s="90" t="s">
        <v>61</v>
      </c>
      <c r="B8" s="75" t="s">
        <v>113</v>
      </c>
      <c r="C8" s="76" t="s">
        <v>11</v>
      </c>
      <c r="D8" s="32"/>
      <c r="E8" s="2"/>
      <c r="F8" s="13"/>
      <c r="G8" s="14">
        <f>100-(119.83-103.5)/103.5*50</f>
        <v>92.11111111111111</v>
      </c>
      <c r="H8" s="2"/>
      <c r="I8" s="2"/>
      <c r="J8" s="2"/>
      <c r="K8" s="2"/>
      <c r="L8" s="2"/>
      <c r="M8" s="8"/>
      <c r="N8" s="2"/>
      <c r="O8" s="2"/>
      <c r="P8" s="2"/>
      <c r="Q8" s="50"/>
      <c r="R8" s="60">
        <f t="shared" si="0"/>
        <v>92.11111111111111</v>
      </c>
    </row>
    <row r="9" spans="1:18" ht="14.25">
      <c r="A9" s="90" t="s">
        <v>62</v>
      </c>
      <c r="B9" s="75" t="s">
        <v>80</v>
      </c>
      <c r="C9" s="76" t="s">
        <v>4</v>
      </c>
      <c r="D9" s="117" t="s">
        <v>52</v>
      </c>
      <c r="E9" s="8">
        <f>100-(177.27-116.8)/116.8*50</f>
        <v>74.11386986301369</v>
      </c>
      <c r="F9" s="3"/>
      <c r="G9" s="12"/>
      <c r="H9" s="2"/>
      <c r="I9" s="2"/>
      <c r="J9" s="2"/>
      <c r="K9" s="2"/>
      <c r="L9" s="2"/>
      <c r="M9" s="2"/>
      <c r="N9" s="8"/>
      <c r="O9" s="8"/>
      <c r="P9" s="2"/>
      <c r="Q9" s="50"/>
      <c r="R9" s="60">
        <f t="shared" si="0"/>
        <v>74.11386986301369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29" customFormat="1" ht="14.25">
      <c r="A15" s="29" t="s">
        <v>68</v>
      </c>
    </row>
    <row r="16" s="30" customFormat="1" ht="14.25">
      <c r="A16" s="30" t="s">
        <v>43</v>
      </c>
    </row>
    <row r="17" s="29" customFormat="1" ht="14.25">
      <c r="A17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5" customWidth="1"/>
    <col min="22" max="16384" width="9.00390625" style="1" customWidth="1"/>
  </cols>
  <sheetData>
    <row r="1" spans="1:20" ht="31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118" t="s">
        <v>56</v>
      </c>
      <c r="B3" s="62" t="s">
        <v>15</v>
      </c>
      <c r="C3" s="74" t="s">
        <v>18</v>
      </c>
      <c r="D3" s="80">
        <f>100-(82.28-71.18)/71.18*50</f>
        <v>92.20286597358809</v>
      </c>
      <c r="E3" s="14">
        <f>100-(127.08-116.68)/116.68*50</f>
        <v>95.54336647240316</v>
      </c>
      <c r="F3" s="14">
        <f>100-(49.07-48.72)/48.72*50</f>
        <v>99.64080459770115</v>
      </c>
      <c r="G3" s="14">
        <f>100-(123.12-104.03)/104.03*50</f>
        <v>90.82476208785927</v>
      </c>
      <c r="H3" s="14"/>
      <c r="I3" s="14"/>
      <c r="J3" s="14"/>
      <c r="K3" s="48"/>
      <c r="L3" s="14"/>
      <c r="M3" s="14"/>
      <c r="N3" s="14"/>
      <c r="O3" s="14"/>
      <c r="P3" s="14"/>
      <c r="Q3" s="55"/>
      <c r="R3" s="60">
        <f aca="true" t="shared" si="0" ref="R3:R22">SUM(D3:Q3)</f>
        <v>378.2117991315517</v>
      </c>
    </row>
    <row r="4" spans="1:18" ht="14.25">
      <c r="A4" s="66" t="s">
        <v>57</v>
      </c>
      <c r="B4" s="32" t="s">
        <v>26</v>
      </c>
      <c r="C4" s="76" t="s">
        <v>30</v>
      </c>
      <c r="D4" s="80">
        <f>100-(98.1-71.18)/71.18*50</f>
        <v>81.0901938746839</v>
      </c>
      <c r="E4" s="8">
        <f>100-(142.9-116.68)/116.68*50</f>
        <v>88.76414124100103</v>
      </c>
      <c r="F4" s="8">
        <f>100-(77.03-48.72)/48.72*50</f>
        <v>70.94622331691298</v>
      </c>
      <c r="G4" s="8">
        <f>100-(128.75-104.03)/104.03*50</f>
        <v>88.11881188118812</v>
      </c>
      <c r="H4" s="8"/>
      <c r="I4" s="8"/>
      <c r="J4" s="8"/>
      <c r="K4" s="8"/>
      <c r="L4" s="8"/>
      <c r="M4" s="8"/>
      <c r="N4" s="8"/>
      <c r="O4" s="8"/>
      <c r="P4" s="8"/>
      <c r="Q4" s="49"/>
      <c r="R4" s="60">
        <f t="shared" si="0"/>
        <v>328.91937031378603</v>
      </c>
    </row>
    <row r="5" spans="1:18" ht="14.25">
      <c r="A5" s="66" t="s">
        <v>58</v>
      </c>
      <c r="B5" s="32" t="s">
        <v>71</v>
      </c>
      <c r="C5" s="76" t="s">
        <v>9</v>
      </c>
      <c r="D5" s="80">
        <f>100-(100.65-71.18)/71.18*50</f>
        <v>79.29896038212982</v>
      </c>
      <c r="E5" s="80">
        <f>100-(164-116.68)/116.68*50</f>
        <v>79.72231744943436</v>
      </c>
      <c r="F5" s="8">
        <f>100-(78.8-48.72)/48.72*50</f>
        <v>69.12972085385879</v>
      </c>
      <c r="G5" s="8">
        <f>100-(176.1-104.03)/104.03*50</f>
        <v>65.36095357108528</v>
      </c>
      <c r="H5" s="8"/>
      <c r="I5" s="7"/>
      <c r="J5" s="8"/>
      <c r="K5" s="8"/>
      <c r="L5" s="7"/>
      <c r="M5" s="8"/>
      <c r="N5" s="8"/>
      <c r="O5" s="8"/>
      <c r="P5" s="8"/>
      <c r="Q5" s="49"/>
      <c r="R5" s="60">
        <f t="shared" si="0"/>
        <v>293.51195225650827</v>
      </c>
    </row>
    <row r="6" spans="1:18" ht="14.25">
      <c r="A6" s="66" t="s">
        <v>59</v>
      </c>
      <c r="B6" s="32" t="s">
        <v>12</v>
      </c>
      <c r="C6" s="76" t="s">
        <v>30</v>
      </c>
      <c r="D6" s="80">
        <f>100-(71.18-71.18)/71.18*50</f>
        <v>100</v>
      </c>
      <c r="E6" s="80"/>
      <c r="F6" s="8">
        <f>100-(52.13-48.72)/48.72*50</f>
        <v>96.5004105090312</v>
      </c>
      <c r="G6" s="8">
        <f>100-(116.13-104.03)/104.03*50</f>
        <v>94.18436989330002</v>
      </c>
      <c r="H6" s="8"/>
      <c r="I6" s="8"/>
      <c r="J6" s="8"/>
      <c r="K6" s="8"/>
      <c r="L6" s="8"/>
      <c r="M6" s="8"/>
      <c r="N6" s="8"/>
      <c r="O6" s="8"/>
      <c r="P6" s="7"/>
      <c r="Q6" s="49"/>
      <c r="R6" s="60">
        <f t="shared" si="0"/>
        <v>290.6847804023312</v>
      </c>
    </row>
    <row r="7" spans="1:18" ht="14.25">
      <c r="A7" s="66" t="s">
        <v>60</v>
      </c>
      <c r="B7" s="32" t="s">
        <v>81</v>
      </c>
      <c r="C7" s="74" t="s">
        <v>18</v>
      </c>
      <c r="D7" s="80"/>
      <c r="E7" s="80">
        <f>100-(139.98-116.68)/116.68*50</f>
        <v>90.01542680836477</v>
      </c>
      <c r="F7" s="8">
        <f>100-(56.27-48.72)/48.72*50</f>
        <v>92.25164203612479</v>
      </c>
      <c r="G7" s="8">
        <f>100-(124.1-104.03)/104.03*50</f>
        <v>90.35374411227531</v>
      </c>
      <c r="H7" s="8"/>
      <c r="I7" s="8"/>
      <c r="J7" s="8"/>
      <c r="K7" s="8"/>
      <c r="L7" s="8"/>
      <c r="M7" s="8"/>
      <c r="N7" s="8"/>
      <c r="O7" s="8"/>
      <c r="P7" s="8"/>
      <c r="Q7" s="49"/>
      <c r="R7" s="60">
        <f t="shared" si="0"/>
        <v>272.6208129567649</v>
      </c>
    </row>
    <row r="8" spans="1:18" ht="14.25">
      <c r="A8" s="66" t="s">
        <v>61</v>
      </c>
      <c r="B8" s="32" t="s">
        <v>103</v>
      </c>
      <c r="C8" s="76" t="s">
        <v>2</v>
      </c>
      <c r="D8" s="80"/>
      <c r="E8" s="80"/>
      <c r="F8" s="8">
        <f>100-(48.72-48.72)/48.72*50</f>
        <v>100</v>
      </c>
      <c r="G8" s="8">
        <f>100-(104.03-104.03)/104.03*50</f>
        <v>100</v>
      </c>
      <c r="H8" s="8"/>
      <c r="I8" s="8"/>
      <c r="J8" s="8"/>
      <c r="K8" s="8"/>
      <c r="L8" s="8"/>
      <c r="M8" s="8"/>
      <c r="N8" s="8"/>
      <c r="O8" s="8"/>
      <c r="P8" s="8"/>
      <c r="Q8" s="49"/>
      <c r="R8" s="60">
        <f t="shared" si="0"/>
        <v>200</v>
      </c>
    </row>
    <row r="9" spans="1:18" ht="14.25">
      <c r="A9" s="66" t="s">
        <v>62</v>
      </c>
      <c r="B9" s="32" t="s">
        <v>28</v>
      </c>
      <c r="C9" s="76" t="s">
        <v>27</v>
      </c>
      <c r="D9" s="80">
        <f>100-(76.25-71.18)/71.18*50</f>
        <v>96.43860635009835</v>
      </c>
      <c r="E9" s="14">
        <f>100-(116.68-116.68)/116.68*50</f>
        <v>100</v>
      </c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49"/>
      <c r="R9" s="60">
        <f t="shared" si="0"/>
        <v>196.43860635009835</v>
      </c>
    </row>
    <row r="10" spans="1:18" ht="14.25">
      <c r="A10" s="66" t="s">
        <v>63</v>
      </c>
      <c r="B10" s="32" t="s">
        <v>22</v>
      </c>
      <c r="C10" s="76" t="s">
        <v>27</v>
      </c>
      <c r="D10" s="80">
        <f>100-(115-71.18)/71.18*50</f>
        <v>69.21888170834505</v>
      </c>
      <c r="E10" s="80">
        <f>100-(159.55-116.68)/116.68*50</f>
        <v>81.62924237230031</v>
      </c>
      <c r="F10" s="3"/>
      <c r="G10" s="2"/>
      <c r="H10" s="2"/>
      <c r="I10" s="2"/>
      <c r="J10" s="2"/>
      <c r="K10" s="2"/>
      <c r="L10" s="8"/>
      <c r="M10" s="8"/>
      <c r="N10" s="2"/>
      <c r="O10" s="2"/>
      <c r="P10" s="8"/>
      <c r="Q10" s="49"/>
      <c r="R10" s="60">
        <f t="shared" si="0"/>
        <v>150.84812408064536</v>
      </c>
    </row>
    <row r="11" spans="1:18" ht="14.25">
      <c r="A11" s="66" t="s">
        <v>64</v>
      </c>
      <c r="B11" s="32" t="s">
        <v>36</v>
      </c>
      <c r="C11" s="76" t="s">
        <v>7</v>
      </c>
      <c r="D11" s="81">
        <f>100-(71.72-71.18)/71.18*50</f>
        <v>99.62067996628267</v>
      </c>
      <c r="E11" s="80"/>
      <c r="F11" s="7"/>
      <c r="G11" s="8"/>
      <c r="H11" s="11"/>
      <c r="I11" s="8"/>
      <c r="J11" s="8"/>
      <c r="K11" s="8"/>
      <c r="L11" s="8"/>
      <c r="M11" s="8"/>
      <c r="N11" s="8"/>
      <c r="O11" s="8"/>
      <c r="P11" s="8"/>
      <c r="Q11" s="49"/>
      <c r="R11" s="60">
        <f t="shared" si="0"/>
        <v>99.62067996628267</v>
      </c>
    </row>
    <row r="12" spans="1:21" ht="14.25">
      <c r="A12" s="66" t="s">
        <v>65</v>
      </c>
      <c r="B12" s="32" t="s">
        <v>108</v>
      </c>
      <c r="C12" s="76" t="s">
        <v>11</v>
      </c>
      <c r="D12" s="81"/>
      <c r="E12" s="80"/>
      <c r="F12" s="7"/>
      <c r="G12" s="8">
        <f>100-(140.32-104.03)/104.03*50</f>
        <v>82.55791598577333</v>
      </c>
      <c r="H12" s="8"/>
      <c r="I12" s="8"/>
      <c r="J12" s="8"/>
      <c r="K12" s="8"/>
      <c r="L12" s="8"/>
      <c r="M12" s="8"/>
      <c r="N12" s="8"/>
      <c r="O12" s="8"/>
      <c r="P12" s="8"/>
      <c r="Q12" s="49"/>
      <c r="R12" s="60">
        <f t="shared" si="0"/>
        <v>82.55791598577333</v>
      </c>
      <c r="U12" s="19"/>
    </row>
    <row r="13" spans="1:18" ht="14.25">
      <c r="A13" s="66" t="s">
        <v>82</v>
      </c>
      <c r="B13" s="32" t="s">
        <v>104</v>
      </c>
      <c r="C13" s="76" t="s">
        <v>35</v>
      </c>
      <c r="D13" s="32"/>
      <c r="E13" s="2"/>
      <c r="F13" s="8">
        <f>100-(68.87-48.72)/48.72*50</f>
        <v>79.32060755336617</v>
      </c>
      <c r="G13" s="2"/>
      <c r="H13" s="2"/>
      <c r="I13" s="2"/>
      <c r="J13" s="2"/>
      <c r="K13" s="2"/>
      <c r="L13" s="8"/>
      <c r="M13" s="8"/>
      <c r="N13" s="2"/>
      <c r="O13" s="2"/>
      <c r="P13" s="2"/>
      <c r="Q13" s="50"/>
      <c r="R13" s="60">
        <f t="shared" si="0"/>
        <v>79.32060755336617</v>
      </c>
    </row>
    <row r="14" spans="1:18" ht="14.25">
      <c r="A14" s="66" t="s">
        <v>115</v>
      </c>
      <c r="B14" s="32" t="s">
        <v>73</v>
      </c>
      <c r="C14" s="76" t="s">
        <v>74</v>
      </c>
      <c r="D14" s="32"/>
      <c r="E14" s="8">
        <f>100-(172.22-116.68)/116.68*50</f>
        <v>76.19986287281455</v>
      </c>
      <c r="F14" s="3"/>
      <c r="G14" s="2"/>
      <c r="H14" s="2"/>
      <c r="I14" s="2"/>
      <c r="J14" s="2"/>
      <c r="K14" s="2"/>
      <c r="L14" s="2"/>
      <c r="M14" s="8"/>
      <c r="N14" s="2"/>
      <c r="O14" s="2"/>
      <c r="P14" s="8"/>
      <c r="Q14" s="49"/>
      <c r="R14" s="60">
        <f t="shared" si="0"/>
        <v>76.19986287281455</v>
      </c>
    </row>
    <row r="15" spans="1:18" ht="14.25">
      <c r="A15" s="66" t="s">
        <v>116</v>
      </c>
      <c r="B15" s="32" t="s">
        <v>72</v>
      </c>
      <c r="C15" s="76" t="s">
        <v>4</v>
      </c>
      <c r="D15" s="81">
        <f>100-(107.53-71.18)/71.18*50</f>
        <v>74.46614217476821</v>
      </c>
      <c r="E15" s="11" t="s">
        <v>52</v>
      </c>
      <c r="F15" s="7"/>
      <c r="G15" s="8"/>
      <c r="H15" s="8"/>
      <c r="I15" s="8"/>
      <c r="J15" s="8"/>
      <c r="K15" s="8"/>
      <c r="L15" s="8"/>
      <c r="M15" s="8"/>
      <c r="N15" s="8"/>
      <c r="O15" s="11"/>
      <c r="P15" s="8"/>
      <c r="Q15" s="49"/>
      <c r="R15" s="60">
        <f t="shared" si="0"/>
        <v>74.46614217476821</v>
      </c>
    </row>
    <row r="16" spans="1:18" ht="14.25">
      <c r="A16" s="66" t="s">
        <v>117</v>
      </c>
      <c r="B16" s="32" t="s">
        <v>31</v>
      </c>
      <c r="C16" s="76" t="s">
        <v>23</v>
      </c>
      <c r="D16" s="32"/>
      <c r="E16" s="8">
        <f>100-(182-116.68)/116.68*50</f>
        <v>72.00891326705519</v>
      </c>
      <c r="F16" s="3"/>
      <c r="G16" s="2"/>
      <c r="H16" s="2"/>
      <c r="I16" s="2"/>
      <c r="J16" s="2"/>
      <c r="K16" s="2"/>
      <c r="L16" s="2"/>
      <c r="M16" s="2"/>
      <c r="N16" s="8"/>
      <c r="O16" s="8"/>
      <c r="P16" s="2"/>
      <c r="Q16" s="50"/>
      <c r="R16" s="60">
        <f t="shared" si="0"/>
        <v>72.00891326705519</v>
      </c>
    </row>
    <row r="17" spans="1:18" ht="14.25">
      <c r="A17" s="66" t="s">
        <v>118</v>
      </c>
      <c r="B17" s="32" t="s">
        <v>105</v>
      </c>
      <c r="C17" s="76" t="s">
        <v>99</v>
      </c>
      <c r="D17" s="32"/>
      <c r="E17" s="2"/>
      <c r="F17" s="8">
        <f>100-(83.1-48.72)/48.72*50</f>
        <v>64.71674876847291</v>
      </c>
      <c r="G17" s="2"/>
      <c r="H17" s="2"/>
      <c r="I17" s="2"/>
      <c r="J17" s="8"/>
      <c r="K17" s="8"/>
      <c r="L17" s="2"/>
      <c r="M17" s="2"/>
      <c r="N17" s="2"/>
      <c r="O17" s="2"/>
      <c r="P17" s="2"/>
      <c r="Q17" s="50"/>
      <c r="R17" s="60">
        <f t="shared" si="0"/>
        <v>64.71674876847291</v>
      </c>
    </row>
    <row r="18" spans="1:18" ht="14.25">
      <c r="A18" s="66" t="s">
        <v>119</v>
      </c>
      <c r="B18" s="32" t="s">
        <v>106</v>
      </c>
      <c r="C18" s="76" t="s">
        <v>107</v>
      </c>
      <c r="D18" s="32"/>
      <c r="E18" s="2"/>
      <c r="F18" s="8">
        <f>100-(90.78-48.72)/48.72*50</f>
        <v>56.83497536945812</v>
      </c>
      <c r="G18" s="2"/>
      <c r="H18" s="2"/>
      <c r="I18" s="2"/>
      <c r="J18" s="2"/>
      <c r="K18" s="2"/>
      <c r="L18" s="8"/>
      <c r="M18" s="8"/>
      <c r="N18" s="2"/>
      <c r="O18" s="2"/>
      <c r="P18" s="2"/>
      <c r="Q18" s="50"/>
      <c r="R18" s="60">
        <f t="shared" si="0"/>
        <v>56.83497536945812</v>
      </c>
    </row>
    <row r="19" spans="1:18" ht="14.25">
      <c r="A19" s="66"/>
      <c r="B19" s="32"/>
      <c r="C19" s="76"/>
      <c r="D19" s="32"/>
      <c r="E19" s="2"/>
      <c r="F19" s="3"/>
      <c r="G19" s="2"/>
      <c r="H19" s="2"/>
      <c r="I19" s="2"/>
      <c r="J19" s="2"/>
      <c r="K19" s="2"/>
      <c r="L19" s="8"/>
      <c r="M19" s="8"/>
      <c r="N19" s="2"/>
      <c r="O19" s="2"/>
      <c r="P19" s="2"/>
      <c r="Q19" s="50"/>
      <c r="R19" s="60">
        <f t="shared" si="0"/>
        <v>0</v>
      </c>
    </row>
    <row r="20" spans="1:18" ht="14.25">
      <c r="A20" s="66"/>
      <c r="B20" s="32"/>
      <c r="C20" s="76"/>
      <c r="D20" s="32"/>
      <c r="E20" s="2"/>
      <c r="F20" s="3"/>
      <c r="G20" s="2"/>
      <c r="H20" s="2"/>
      <c r="I20" s="2"/>
      <c r="J20" s="2"/>
      <c r="K20" s="2"/>
      <c r="L20" s="8"/>
      <c r="M20" s="2"/>
      <c r="N20" s="2"/>
      <c r="O20" s="2"/>
      <c r="P20" s="8"/>
      <c r="Q20" s="50"/>
      <c r="R20" s="60">
        <f t="shared" si="0"/>
        <v>0</v>
      </c>
    </row>
    <row r="21" spans="1:18" ht="14.25">
      <c r="A21" s="66"/>
      <c r="B21" s="32"/>
      <c r="C21" s="76"/>
      <c r="D21" s="32"/>
      <c r="E21" s="2"/>
      <c r="F21" s="3"/>
      <c r="G21" s="2"/>
      <c r="H21" s="2"/>
      <c r="I21" s="2"/>
      <c r="J21" s="2"/>
      <c r="K21" s="2"/>
      <c r="L21" s="2"/>
      <c r="M21" s="8"/>
      <c r="N21" s="2"/>
      <c r="O21" s="2"/>
      <c r="P21" s="2"/>
      <c r="Q21" s="50"/>
      <c r="R21" s="60">
        <f t="shared" si="0"/>
        <v>0</v>
      </c>
    </row>
    <row r="22" spans="1:18" ht="15" thickBot="1">
      <c r="A22" s="67"/>
      <c r="B22" s="63"/>
      <c r="C22" s="78"/>
      <c r="D22" s="63"/>
      <c r="E22" s="37"/>
      <c r="F22" s="52"/>
      <c r="G22" s="37"/>
      <c r="H22" s="37"/>
      <c r="I22" s="37"/>
      <c r="J22" s="37"/>
      <c r="K22" s="37"/>
      <c r="L22" s="38"/>
      <c r="M22" s="37"/>
      <c r="N22" s="37"/>
      <c r="O22" s="37"/>
      <c r="P22" s="38"/>
      <c r="Q22" s="79"/>
      <c r="R22" s="61">
        <f t="shared" si="0"/>
        <v>0</v>
      </c>
    </row>
    <row r="23" spans="1:18" ht="14.25">
      <c r="A23" s="15"/>
      <c r="B23" s="15"/>
      <c r="C23" s="15"/>
      <c r="D23" s="15"/>
      <c r="E23" s="15"/>
      <c r="F23" s="20"/>
      <c r="G23" s="15"/>
      <c r="H23" s="15"/>
      <c r="I23" s="15"/>
      <c r="J23" s="15"/>
      <c r="K23" s="15"/>
      <c r="L23" s="16"/>
      <c r="M23" s="15"/>
      <c r="N23" s="15"/>
      <c r="O23" s="15"/>
      <c r="P23" s="16"/>
      <c r="Q23" s="16"/>
      <c r="R23" s="19"/>
    </row>
    <row r="24" s="29" customFormat="1" ht="14.25">
      <c r="A24" s="29" t="s">
        <v>68</v>
      </c>
    </row>
    <row r="25" s="30" customFormat="1" ht="14.25">
      <c r="A25" s="30" t="s">
        <v>43</v>
      </c>
    </row>
    <row r="26" s="29" customFormat="1" ht="14.25">
      <c r="A26" s="29" t="s">
        <v>53</v>
      </c>
    </row>
  </sheetData>
  <sheetProtection/>
  <autoFilter ref="B2:R2">
    <sortState ref="B3:R26">
      <sortCondition descending="1" sortBy="value" ref="Q3:Q2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3" sqref="A13:IV14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5" customWidth="1"/>
    <col min="33" max="16384" width="9.00390625" style="1" customWidth="1"/>
  </cols>
  <sheetData>
    <row r="1" spans="1:20" ht="34.5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114</v>
      </c>
      <c r="C3" s="112" t="s">
        <v>112</v>
      </c>
      <c r="D3" s="104"/>
      <c r="E3" s="104"/>
      <c r="F3" s="120">
        <f>100-(37.47-37.47)/37.47*50</f>
        <v>100</v>
      </c>
      <c r="G3" s="8">
        <f>100-(56.8-56.8)/56.8*50</f>
        <v>100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13">
        <f aca="true" t="shared" si="0" ref="R3:R10">SUM(D3:Q3)</f>
        <v>200</v>
      </c>
    </row>
    <row r="4" spans="1:18" ht="14.25">
      <c r="A4" s="34"/>
      <c r="B4" s="2"/>
      <c r="C4" s="2"/>
      <c r="D4" s="14"/>
      <c r="E4" s="8"/>
      <c r="F4" s="8"/>
      <c r="G4" s="8"/>
      <c r="H4" s="8"/>
      <c r="I4" s="8"/>
      <c r="J4" s="8"/>
      <c r="K4" s="8"/>
      <c r="L4" s="8"/>
      <c r="M4" s="8"/>
      <c r="N4" s="8"/>
      <c r="O4" s="11"/>
      <c r="P4" s="8"/>
      <c r="Q4" s="8"/>
      <c r="R4" s="35">
        <f t="shared" si="0"/>
        <v>0</v>
      </c>
    </row>
    <row r="5" spans="1:18" ht="14.25">
      <c r="A5" s="34"/>
      <c r="B5" s="2"/>
      <c r="C5" s="2"/>
      <c r="D5" s="14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5">
        <f t="shared" si="0"/>
        <v>0</v>
      </c>
    </row>
    <row r="6" spans="1:18" ht="14.25">
      <c r="A6" s="34"/>
      <c r="B6" s="2"/>
      <c r="C6" s="2"/>
      <c r="D6" s="1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35">
        <f t="shared" si="0"/>
        <v>0</v>
      </c>
    </row>
    <row r="7" spans="1:18" ht="14.25">
      <c r="A7" s="34"/>
      <c r="B7" s="2"/>
      <c r="C7" s="2"/>
      <c r="D7" s="14"/>
      <c r="E7" s="8"/>
      <c r="F7" s="2"/>
      <c r="G7" s="2"/>
      <c r="H7" s="2"/>
      <c r="I7" s="2"/>
      <c r="J7" s="8"/>
      <c r="K7" s="8"/>
      <c r="L7" s="2"/>
      <c r="M7" s="2"/>
      <c r="N7" s="8"/>
      <c r="O7" s="8"/>
      <c r="P7" s="2"/>
      <c r="Q7" s="2"/>
      <c r="R7" s="35">
        <f t="shared" si="0"/>
        <v>0</v>
      </c>
    </row>
    <row r="8" spans="1:18" ht="14.25">
      <c r="A8" s="34"/>
      <c r="B8" s="2"/>
      <c r="C8" s="2"/>
      <c r="D8" s="12"/>
      <c r="E8" s="8"/>
      <c r="F8" s="8"/>
      <c r="G8" s="2"/>
      <c r="H8" s="2"/>
      <c r="I8" s="2"/>
      <c r="J8" s="2"/>
      <c r="K8" s="2"/>
      <c r="L8" s="2"/>
      <c r="M8" s="8"/>
      <c r="N8" s="2"/>
      <c r="O8" s="2"/>
      <c r="P8" s="8"/>
      <c r="Q8" s="8"/>
      <c r="R8" s="35">
        <f t="shared" si="0"/>
        <v>0</v>
      </c>
    </row>
    <row r="9" spans="1:18" ht="14.25">
      <c r="A9" s="34"/>
      <c r="B9" s="2"/>
      <c r="C9" s="2"/>
      <c r="D9" s="2"/>
      <c r="E9" s="8"/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5">
        <f t="shared" si="0"/>
        <v>0</v>
      </c>
    </row>
    <row r="10" spans="1:18" ht="15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8"/>
      <c r="P10" s="39"/>
      <c r="Q10" s="39"/>
      <c r="R10" s="40">
        <f t="shared" si="0"/>
        <v>0</v>
      </c>
    </row>
    <row r="11" spans="1:18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8"/>
      <c r="Q11" s="16"/>
      <c r="R11" s="19"/>
    </row>
    <row r="12" spans="1:18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5"/>
      <c r="P13" s="15"/>
      <c r="Q13" s="15"/>
      <c r="R13" s="15"/>
    </row>
    <row r="14" s="29" customFormat="1" ht="14.25">
      <c r="A14" s="29" t="s">
        <v>68</v>
      </c>
    </row>
    <row r="15" s="30" customFormat="1" ht="14.25">
      <c r="A15" s="30" t="s">
        <v>43</v>
      </c>
    </row>
    <row r="16" s="29" customFormat="1" ht="14.25">
      <c r="A16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5" customWidth="1"/>
    <col min="33" max="16384" width="9.00390625" style="1" customWidth="1"/>
  </cols>
  <sheetData>
    <row r="1" spans="1:20" ht="34.5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13</v>
      </c>
      <c r="C3" s="112" t="s">
        <v>14</v>
      </c>
      <c r="D3" s="104">
        <f>100-(57.35-57.35)/57.35*50</f>
        <v>100</v>
      </c>
      <c r="E3" s="104">
        <f>100-(71.52-68.78)/68.78*50</f>
        <v>98.00814190171562</v>
      </c>
      <c r="F3" s="120">
        <f>100-(42.07-42.07)/42.07*50</f>
        <v>100</v>
      </c>
      <c r="G3" s="8">
        <f>100-(84.87-82.6)/82.6*50</f>
        <v>98.62590799031476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13">
        <f aca="true" t="shared" si="0" ref="R3:R10">SUM(D3:Q3)</f>
        <v>396.63404989203036</v>
      </c>
    </row>
    <row r="4" spans="1:18" ht="14.25">
      <c r="A4" s="34" t="s">
        <v>57</v>
      </c>
      <c r="B4" s="2" t="s">
        <v>34</v>
      </c>
      <c r="C4" s="2" t="s">
        <v>2</v>
      </c>
      <c r="D4" s="14">
        <f>100-(62.2-57.35)/57.35*50</f>
        <v>95.77157802964254</v>
      </c>
      <c r="E4" s="8">
        <f>100-(68.78-68.78)/68.78*50</f>
        <v>100</v>
      </c>
      <c r="F4" s="8">
        <f>100-(42.37-42.07)/42.07*50</f>
        <v>99.64345139053958</v>
      </c>
      <c r="G4" s="8">
        <f>100-(82.6-82.6)/82.6*50</f>
        <v>100</v>
      </c>
      <c r="H4" s="8"/>
      <c r="I4" s="8"/>
      <c r="J4" s="8"/>
      <c r="K4" s="8"/>
      <c r="L4" s="8"/>
      <c r="M4" s="8"/>
      <c r="N4" s="8"/>
      <c r="O4" s="11"/>
      <c r="P4" s="8"/>
      <c r="Q4" s="8"/>
      <c r="R4" s="35">
        <f t="shared" si="0"/>
        <v>395.4150294201821</v>
      </c>
    </row>
    <row r="5" spans="1:18" ht="14.25">
      <c r="A5" s="34" t="s">
        <v>58</v>
      </c>
      <c r="B5" s="2" t="s">
        <v>44</v>
      </c>
      <c r="C5" s="2" t="s">
        <v>9</v>
      </c>
      <c r="D5" s="14">
        <f>100-(75.28-57.35)/57.35*50</f>
        <v>84.36791630340018</v>
      </c>
      <c r="E5" s="8">
        <f>100-(82.07-68.78)/68.78*50</f>
        <v>90.33876126781041</v>
      </c>
      <c r="F5" s="8">
        <f>100-(49.28-42.07)/42.07*50</f>
        <v>91.43094841930116</v>
      </c>
      <c r="G5" s="8">
        <f>100-(100.33-82.6)/82.6*50</f>
        <v>89.26755447941888</v>
      </c>
      <c r="H5" s="8"/>
      <c r="I5" s="8"/>
      <c r="J5" s="8"/>
      <c r="K5" s="8"/>
      <c r="L5" s="8"/>
      <c r="M5" s="8"/>
      <c r="N5" s="8"/>
      <c r="O5" s="8"/>
      <c r="P5" s="8"/>
      <c r="Q5" s="9"/>
      <c r="R5" s="35">
        <f t="shared" si="0"/>
        <v>355.40518046993066</v>
      </c>
    </row>
    <row r="6" spans="1:18" ht="14.25">
      <c r="A6" s="34" t="s">
        <v>59</v>
      </c>
      <c r="B6" s="2" t="s">
        <v>49</v>
      </c>
      <c r="C6" s="2" t="s">
        <v>17</v>
      </c>
      <c r="D6" s="12"/>
      <c r="E6" s="8">
        <f>100-(80.97-68.78)/68.78*50</f>
        <v>91.13841232916546</v>
      </c>
      <c r="F6" s="8">
        <f>100-(44.1-42.07)/42.07*50</f>
        <v>97.5873544093178</v>
      </c>
      <c r="G6" s="2"/>
      <c r="H6" s="2"/>
      <c r="I6" s="2"/>
      <c r="J6" s="2"/>
      <c r="K6" s="2"/>
      <c r="L6" s="2"/>
      <c r="M6" s="8"/>
      <c r="N6" s="2"/>
      <c r="O6" s="2"/>
      <c r="P6" s="8"/>
      <c r="Q6" s="8"/>
      <c r="R6" s="35">
        <f t="shared" si="0"/>
        <v>188.72576673848326</v>
      </c>
    </row>
    <row r="7" spans="1:18" ht="14.25">
      <c r="A7" s="34" t="s">
        <v>60</v>
      </c>
      <c r="B7" s="2" t="s">
        <v>19</v>
      </c>
      <c r="C7" s="2" t="s">
        <v>2</v>
      </c>
      <c r="D7" s="14">
        <f>100-(65.33-57.35)/57.35*50</f>
        <v>93.04272013949434</v>
      </c>
      <c r="E7" s="8">
        <f>100-(90.15-68.78)/68.78*50</f>
        <v>84.46496074440245</v>
      </c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5">
        <f t="shared" si="0"/>
        <v>177.5076808838968</v>
      </c>
    </row>
    <row r="8" spans="1:18" ht="14.25">
      <c r="A8" s="34" t="s">
        <v>61</v>
      </c>
      <c r="B8" s="2" t="s">
        <v>76</v>
      </c>
      <c r="C8" s="2" t="s">
        <v>77</v>
      </c>
      <c r="D8" s="14">
        <f>100-(100.57-57.35)/57.35*50</f>
        <v>62.31909328683523</v>
      </c>
      <c r="E8" s="8">
        <f>100-(108.93-68.78)/68.78*50</f>
        <v>70.81273626054085</v>
      </c>
      <c r="F8" s="2"/>
      <c r="G8" s="2"/>
      <c r="H8" s="2"/>
      <c r="I8" s="2"/>
      <c r="J8" s="8"/>
      <c r="K8" s="8"/>
      <c r="L8" s="2"/>
      <c r="M8" s="2"/>
      <c r="N8" s="8"/>
      <c r="O8" s="8"/>
      <c r="P8" s="2"/>
      <c r="Q8" s="2"/>
      <c r="R8" s="35">
        <f t="shared" si="0"/>
        <v>133.13182954737607</v>
      </c>
    </row>
    <row r="9" spans="1:18" ht="14.25">
      <c r="A9" s="34" t="s">
        <v>62</v>
      </c>
      <c r="B9" s="2" t="s">
        <v>40</v>
      </c>
      <c r="C9" s="2" t="s">
        <v>18</v>
      </c>
      <c r="D9" s="2"/>
      <c r="E9" s="8">
        <f>100-(89.9-68.78)/68.78*50</f>
        <v>84.64669962198313</v>
      </c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5">
        <f t="shared" si="0"/>
        <v>84.64669962198313</v>
      </c>
    </row>
    <row r="10" spans="1:18" ht="14.25">
      <c r="A10" s="34" t="s">
        <v>63</v>
      </c>
      <c r="B10" s="2" t="s">
        <v>75</v>
      </c>
      <c r="C10" s="2" t="s">
        <v>4</v>
      </c>
      <c r="D10" s="8">
        <f>100-(129.65-57.35)/57.35*50</f>
        <v>36.96599825632083</v>
      </c>
      <c r="E10" s="2"/>
      <c r="F10" s="2"/>
      <c r="G10" s="2"/>
      <c r="H10" s="2"/>
      <c r="I10" s="2"/>
      <c r="J10" s="8"/>
      <c r="K10" s="8"/>
      <c r="L10" s="8"/>
      <c r="M10" s="8"/>
      <c r="N10" s="2"/>
      <c r="O10" s="2"/>
      <c r="P10" s="8"/>
      <c r="Q10" s="8"/>
      <c r="R10" s="35">
        <f t="shared" si="0"/>
        <v>36.96599825632083</v>
      </c>
    </row>
    <row r="11" spans="1:18" ht="14.25">
      <c r="A11" s="34"/>
      <c r="B11" s="2"/>
      <c r="C11" s="2"/>
      <c r="D11" s="2"/>
      <c r="E11" s="2"/>
      <c r="F11" s="2"/>
      <c r="G11" s="3"/>
      <c r="H11" s="3"/>
      <c r="I11" s="2"/>
      <c r="J11" s="2"/>
      <c r="K11" s="3"/>
      <c r="L11" s="8"/>
      <c r="M11" s="3"/>
      <c r="N11" s="4"/>
      <c r="O11" s="2"/>
      <c r="P11" s="2"/>
      <c r="Q11" s="8"/>
      <c r="R11" s="35">
        <f aca="true" t="shared" si="1" ref="R11:R18">SUM(D11:Q11)</f>
        <v>0</v>
      </c>
    </row>
    <row r="12" spans="1:18" ht="14.2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2"/>
      <c r="P12" s="2"/>
      <c r="Q12" s="2"/>
      <c r="R12" s="35">
        <f t="shared" si="1"/>
        <v>0</v>
      </c>
    </row>
    <row r="13" spans="1:18" ht="14.25">
      <c r="A13" s="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/>
      <c r="P13" s="2"/>
      <c r="Q13" s="2"/>
      <c r="R13" s="35">
        <f t="shared" si="1"/>
        <v>0</v>
      </c>
    </row>
    <row r="14" spans="1:18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2"/>
      <c r="P14" s="2"/>
      <c r="Q14" s="2"/>
      <c r="R14" s="35">
        <f t="shared" si="1"/>
        <v>0</v>
      </c>
    </row>
    <row r="15" spans="1:18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35">
        <f t="shared" si="1"/>
        <v>0</v>
      </c>
    </row>
    <row r="16" spans="1:18" ht="14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2"/>
      <c r="R16" s="35">
        <f t="shared" si="1"/>
        <v>0</v>
      </c>
    </row>
    <row r="17" spans="1:18" ht="14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/>
      <c r="R17" s="35">
        <f t="shared" si="1"/>
        <v>0</v>
      </c>
    </row>
    <row r="18" spans="1:18" ht="15" thickBo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8"/>
      <c r="P18" s="39"/>
      <c r="Q18" s="39"/>
      <c r="R18" s="40">
        <f t="shared" si="1"/>
        <v>0</v>
      </c>
    </row>
    <row r="19" spans="1:18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8"/>
      <c r="Q19" s="16"/>
      <c r="R19" s="19"/>
    </row>
    <row r="20" spans="1:18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5"/>
      <c r="Q20" s="15"/>
      <c r="R20" s="19"/>
    </row>
    <row r="21" spans="1:18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</row>
    <row r="22" s="29" customFormat="1" ht="14.25">
      <c r="A22" s="29" t="s">
        <v>68</v>
      </c>
    </row>
    <row r="23" s="30" customFormat="1" ht="14.25">
      <c r="A23" s="30" t="s">
        <v>43</v>
      </c>
    </row>
    <row r="24" s="29" customFormat="1" ht="14.25">
      <c r="A24" s="29" t="s">
        <v>53</v>
      </c>
    </row>
  </sheetData>
  <sheetProtection/>
  <autoFilter ref="B2:R2">
    <sortState ref="B3:R24">
      <sortCondition descending="1" sortBy="value" ref="Q3:Q24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83</v>
      </c>
      <c r="C3" s="74" t="s">
        <v>84</v>
      </c>
      <c r="D3" s="14">
        <f>100-(44.95-44.95)/44.95*50</f>
        <v>100</v>
      </c>
      <c r="E3" s="14">
        <f>100-(69.25-69.25)/69.25*50</f>
        <v>100</v>
      </c>
      <c r="F3" s="14">
        <f>100-(40.58-24.13)/24.13*50</f>
        <v>65.91380024865313</v>
      </c>
      <c r="G3" s="14">
        <f>100-(54.43-39.42)/39.42*50</f>
        <v>80.96144089294775</v>
      </c>
      <c r="H3" s="14"/>
      <c r="I3" s="14"/>
      <c r="J3" s="14"/>
      <c r="K3" s="14"/>
      <c r="L3" s="14"/>
      <c r="M3" s="48"/>
      <c r="N3" s="14"/>
      <c r="O3" s="14"/>
      <c r="P3" s="14"/>
      <c r="Q3" s="55"/>
      <c r="R3" s="59">
        <f>SUM(D3:Q3)</f>
        <v>346.8752411416009</v>
      </c>
    </row>
    <row r="4" spans="1:18" ht="14.25">
      <c r="A4" s="90" t="s">
        <v>57</v>
      </c>
      <c r="B4" s="75" t="s">
        <v>86</v>
      </c>
      <c r="C4" s="76" t="s">
        <v>33</v>
      </c>
      <c r="D4" s="14">
        <f>100-(46.28-44.95)/44.95*50</f>
        <v>98.52057842046719</v>
      </c>
      <c r="E4" s="14">
        <f>100-(91.83-69.25)/69.25*50</f>
        <v>83.69675090252707</v>
      </c>
      <c r="F4" s="8">
        <f>100-(52.02-24.13)/24.13*50</f>
        <v>42.20886862826356</v>
      </c>
      <c r="G4" s="8">
        <f>100-(89.27-39.42)/39.42*50</f>
        <v>36.770674784373426</v>
      </c>
      <c r="H4" s="2"/>
      <c r="I4" s="2"/>
      <c r="J4" s="2"/>
      <c r="K4" s="2"/>
      <c r="L4" s="2"/>
      <c r="M4" s="2"/>
      <c r="N4" s="8"/>
      <c r="O4" s="8"/>
      <c r="P4" s="2"/>
      <c r="Q4" s="50"/>
      <c r="R4" s="60">
        <f>SUM(D4:Q4)</f>
        <v>261.19687273563125</v>
      </c>
    </row>
    <row r="5" spans="1:18" ht="14.25">
      <c r="A5" s="90" t="s">
        <v>58</v>
      </c>
      <c r="B5" s="75" t="s">
        <v>85</v>
      </c>
      <c r="C5" s="76" t="s">
        <v>2</v>
      </c>
      <c r="D5" s="14">
        <f>100-(45.27-44.95)/44.95*50</f>
        <v>99.6440489432703</v>
      </c>
      <c r="E5" s="14">
        <f>100-(72.45-69.25)/69.25*50</f>
        <v>97.68953068592057</v>
      </c>
      <c r="F5" s="13"/>
      <c r="G5" s="12"/>
      <c r="H5" s="2"/>
      <c r="I5" s="2"/>
      <c r="J5" s="2"/>
      <c r="K5" s="2"/>
      <c r="L5" s="2"/>
      <c r="M5" s="8"/>
      <c r="N5" s="8"/>
      <c r="O5" s="8"/>
      <c r="P5" s="2"/>
      <c r="Q5" s="50"/>
      <c r="R5" s="60">
        <f>SUM(D5:Q5)</f>
        <v>197.33357962919087</v>
      </c>
    </row>
    <row r="6" spans="1:18" ht="14.25">
      <c r="A6" s="90"/>
      <c r="B6" s="75"/>
      <c r="C6" s="76"/>
      <c r="D6" s="32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aca="true" t="shared" si="0" ref="R6:R11">SUM(D6:Q6)</f>
        <v>0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29" customFormat="1" ht="14.25">
      <c r="A15" s="29" t="s">
        <v>68</v>
      </c>
    </row>
    <row r="16" s="30" customFormat="1" ht="14.25">
      <c r="A16" s="30" t="s">
        <v>43</v>
      </c>
    </row>
    <row r="17" s="29" customFormat="1" ht="14.25">
      <c r="A17" s="29" t="s">
        <v>53</v>
      </c>
    </row>
  </sheetData>
  <sheetProtection/>
  <autoFilter ref="B2:R2">
    <sortState ref="B3:R17">
      <sortCondition descending="1" sortBy="value" ref="Q3:Q17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5" customWidth="1"/>
    <col min="22" max="16384" width="9.00390625" style="1" customWidth="1"/>
  </cols>
  <sheetData>
    <row r="1" spans="1:20" ht="30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44" t="s">
        <v>54</v>
      </c>
      <c r="B2" s="45" t="s">
        <v>55</v>
      </c>
      <c r="C2" s="45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47" t="s">
        <v>1</v>
      </c>
      <c r="S2" s="31"/>
      <c r="T2" s="31"/>
    </row>
    <row r="3" spans="1:18" ht="14.25">
      <c r="A3" s="111" t="s">
        <v>56</v>
      </c>
      <c r="B3" s="112" t="s">
        <v>10</v>
      </c>
      <c r="C3" s="112" t="s">
        <v>2</v>
      </c>
      <c r="D3" s="104"/>
      <c r="E3" s="104">
        <f>100-(118.98-118.98)/118.98*50</f>
        <v>100</v>
      </c>
      <c r="F3" s="104">
        <f>100-(56.2-56.2)/56.2*50</f>
        <v>100</v>
      </c>
      <c r="G3" s="104">
        <f>100-(120.95-120.95)/120.95*50</f>
        <v>100</v>
      </c>
      <c r="H3" s="104"/>
      <c r="I3" s="104"/>
      <c r="J3" s="100"/>
      <c r="K3" s="104"/>
      <c r="L3" s="104"/>
      <c r="M3" s="105"/>
      <c r="N3" s="104"/>
      <c r="O3" s="104"/>
      <c r="P3" s="104"/>
      <c r="Q3" s="104"/>
      <c r="R3" s="113">
        <f aca="true" t="shared" si="0" ref="R3:R13">SUM(D3:Q3)</f>
        <v>300</v>
      </c>
    </row>
    <row r="4" spans="1:18" ht="14.25">
      <c r="A4" s="34" t="s">
        <v>57</v>
      </c>
      <c r="B4" s="2" t="s">
        <v>93</v>
      </c>
      <c r="C4" s="2" t="s">
        <v>2</v>
      </c>
      <c r="D4" s="48" t="s">
        <v>52</v>
      </c>
      <c r="E4" s="14">
        <f>100-(144.12-118.98)/118.98*50</f>
        <v>89.4351991931417</v>
      </c>
      <c r="F4" s="8">
        <f>100-(67.13-56.2)/56.2*50</f>
        <v>90.27580071174378</v>
      </c>
      <c r="G4" s="8">
        <f>100-(136.22-120.95)/120.95*50</f>
        <v>93.68747416287722</v>
      </c>
      <c r="H4" s="2"/>
      <c r="I4" s="2"/>
      <c r="J4" s="8"/>
      <c r="K4" s="8"/>
      <c r="L4" s="8"/>
      <c r="M4" s="8"/>
      <c r="N4" s="8"/>
      <c r="O4" s="8"/>
      <c r="P4" s="2"/>
      <c r="Q4" s="8"/>
      <c r="R4" s="35">
        <f>SUM(D4:Q4)</f>
        <v>273.3984740677627</v>
      </c>
    </row>
    <row r="5" spans="1:18" ht="14.25">
      <c r="A5" s="34" t="s">
        <v>58</v>
      </c>
      <c r="B5" s="2" t="s">
        <v>37</v>
      </c>
      <c r="C5" s="2" t="s">
        <v>2</v>
      </c>
      <c r="D5" s="48" t="s">
        <v>52</v>
      </c>
      <c r="E5" s="14">
        <f>100-(164.63-118.98)/118.98*50</f>
        <v>80.81610354681459</v>
      </c>
      <c r="F5" s="8">
        <f>100-(62.37-56.2)/56.2*50</f>
        <v>94.51067615658363</v>
      </c>
      <c r="G5" s="8">
        <f>100-(130.18-120.95)/120.95*50</f>
        <v>96.18437370814387</v>
      </c>
      <c r="H5" s="2"/>
      <c r="I5" s="2"/>
      <c r="J5" s="2"/>
      <c r="K5" s="2"/>
      <c r="L5" s="8"/>
      <c r="M5" s="8"/>
      <c r="N5" s="2"/>
      <c r="O5" s="2"/>
      <c r="P5" s="8"/>
      <c r="Q5" s="8"/>
      <c r="R5" s="35">
        <f t="shared" si="0"/>
        <v>271.51115341154207</v>
      </c>
    </row>
    <row r="6" spans="1:18" ht="14.25">
      <c r="A6" s="34" t="s">
        <v>59</v>
      </c>
      <c r="B6" s="2" t="s">
        <v>50</v>
      </c>
      <c r="C6" s="2" t="s">
        <v>7</v>
      </c>
      <c r="D6" s="2"/>
      <c r="E6" s="14">
        <f>100-(170.33-118.98)/118.98*50</f>
        <v>78.42074298201378</v>
      </c>
      <c r="F6" s="2"/>
      <c r="G6" s="2"/>
      <c r="H6" s="2"/>
      <c r="I6" s="2"/>
      <c r="J6" s="2"/>
      <c r="K6" s="2"/>
      <c r="L6" s="8"/>
      <c r="M6" s="10"/>
      <c r="N6" s="8"/>
      <c r="O6" s="8"/>
      <c r="P6" s="2"/>
      <c r="Q6" s="8"/>
      <c r="R6" s="35">
        <f t="shared" si="0"/>
        <v>78.42074298201378</v>
      </c>
    </row>
    <row r="7" spans="1:18" ht="14.25">
      <c r="A7" s="34" t="s">
        <v>60</v>
      </c>
      <c r="B7" s="2" t="s">
        <v>47</v>
      </c>
      <c r="C7" s="2" t="s">
        <v>7</v>
      </c>
      <c r="D7" s="48" t="s">
        <v>52</v>
      </c>
      <c r="E7" s="14">
        <f>100-(206.4-118.98)/118.98*50</f>
        <v>63.26273323247605</v>
      </c>
      <c r="F7" s="2"/>
      <c r="G7" s="2"/>
      <c r="H7" s="2"/>
      <c r="I7" s="2"/>
      <c r="J7" s="2"/>
      <c r="K7" s="2"/>
      <c r="L7" s="8"/>
      <c r="M7" s="10"/>
      <c r="N7" s="2"/>
      <c r="O7" s="2"/>
      <c r="P7" s="8"/>
      <c r="Q7" s="8"/>
      <c r="R7" s="35">
        <f t="shared" si="0"/>
        <v>63.26273323247605</v>
      </c>
    </row>
    <row r="8" spans="1:18" ht="14.25">
      <c r="A8" s="34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2"/>
      <c r="N8" s="2"/>
      <c r="O8" s="2"/>
      <c r="P8" s="2"/>
      <c r="Q8" s="2"/>
      <c r="R8" s="35">
        <f t="shared" si="0"/>
        <v>0</v>
      </c>
    </row>
    <row r="9" spans="1:18" ht="14.25">
      <c r="A9" s="3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  <c r="N9" s="2"/>
      <c r="O9" s="2"/>
      <c r="P9" s="2"/>
      <c r="Q9" s="2"/>
      <c r="R9" s="35">
        <f t="shared" si="0"/>
        <v>0</v>
      </c>
    </row>
    <row r="10" spans="1:18" ht="14.2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8"/>
      <c r="M10" s="10"/>
      <c r="N10" s="2"/>
      <c r="O10" s="2"/>
      <c r="P10" s="8"/>
      <c r="Q10" s="8"/>
      <c r="R10" s="35">
        <f t="shared" si="0"/>
        <v>0</v>
      </c>
    </row>
    <row r="11" spans="1:18" ht="14.25">
      <c r="A11" s="34"/>
      <c r="B11" s="2"/>
      <c r="C11" s="2"/>
      <c r="D11" s="2"/>
      <c r="E11" s="2"/>
      <c r="F11" s="2"/>
      <c r="G11" s="2"/>
      <c r="H11" s="2"/>
      <c r="I11" s="2"/>
      <c r="J11" s="8"/>
      <c r="K11" s="2"/>
      <c r="L11" s="2"/>
      <c r="M11" s="2"/>
      <c r="N11" s="2"/>
      <c r="O11" s="2"/>
      <c r="P11" s="2"/>
      <c r="Q11" s="2"/>
      <c r="R11" s="35">
        <f t="shared" si="0"/>
        <v>0</v>
      </c>
    </row>
    <row r="12" spans="1:18" ht="14.2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  <c r="M12" s="10"/>
      <c r="N12" s="2"/>
      <c r="O12" s="2"/>
      <c r="P12" s="8"/>
      <c r="Q12" s="8"/>
      <c r="R12" s="35">
        <f t="shared" si="0"/>
        <v>0</v>
      </c>
    </row>
    <row r="13" spans="1:18" ht="15" thickBo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  <c r="N13" s="37"/>
      <c r="O13" s="37"/>
      <c r="P13" s="37"/>
      <c r="Q13" s="37"/>
      <c r="R13" s="40">
        <f t="shared" si="0"/>
        <v>0</v>
      </c>
    </row>
    <row r="14" spans="1:21" s="21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23"/>
      <c r="N14" s="15"/>
      <c r="O14" s="15"/>
      <c r="P14" s="15"/>
      <c r="Q14" s="15"/>
      <c r="R14" s="19"/>
      <c r="S14" s="15"/>
      <c r="T14" s="15"/>
      <c r="U14" s="15"/>
    </row>
    <row r="15" spans="12:21" s="22" customFormat="1" ht="14.25">
      <c r="L15" s="24"/>
      <c r="M15" s="25"/>
      <c r="N15" s="24"/>
      <c r="O15" s="24"/>
      <c r="R15" s="26"/>
      <c r="S15" s="15"/>
      <c r="T15" s="15"/>
      <c r="U15" s="15"/>
    </row>
    <row r="16" s="15" customFormat="1" ht="14.25">
      <c r="R16" s="16"/>
    </row>
    <row r="17" s="29" customFormat="1" ht="14.25">
      <c r="A17" s="29" t="s">
        <v>68</v>
      </c>
    </row>
    <row r="18" s="30" customFormat="1" ht="14.25">
      <c r="A18" s="30" t="s">
        <v>43</v>
      </c>
    </row>
    <row r="19" s="29" customFormat="1" ht="14.25">
      <c r="A19" s="29" t="s">
        <v>53</v>
      </c>
    </row>
  </sheetData>
  <sheetProtection/>
  <autoFilter ref="B2:R2">
    <sortState ref="B3:R19">
      <sortCondition descending="1" sortBy="value" ref="Q3:Q19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selection activeCell="B20" sqref="B20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84"/>
      <c r="T1" s="84"/>
    </row>
    <row r="2" spans="1:20" ht="138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/>
      <c r="B3" s="73"/>
      <c r="C3" s="74"/>
      <c r="D3" s="69"/>
      <c r="E3" s="13"/>
      <c r="F3" s="13"/>
      <c r="G3" s="13"/>
      <c r="H3" s="12"/>
      <c r="I3" s="12"/>
      <c r="J3" s="12"/>
      <c r="K3" s="12"/>
      <c r="L3" s="14"/>
      <c r="M3" s="14"/>
      <c r="N3" s="14"/>
      <c r="O3" s="12"/>
      <c r="P3" s="14"/>
      <c r="Q3" s="55"/>
      <c r="R3" s="59">
        <f aca="true" t="shared" si="0" ref="R3:R10">SUM(D3:Q3)</f>
        <v>0</v>
      </c>
    </row>
    <row r="4" spans="1:18" ht="14.25">
      <c r="A4" s="66"/>
      <c r="B4" s="75"/>
      <c r="C4" s="76"/>
      <c r="D4" s="70"/>
      <c r="E4" s="3"/>
      <c r="F4" s="3"/>
      <c r="G4" s="3"/>
      <c r="H4" s="2"/>
      <c r="I4" s="2"/>
      <c r="J4" s="2"/>
      <c r="K4" s="2"/>
      <c r="L4" s="8"/>
      <c r="M4" s="8"/>
      <c r="N4" s="2"/>
      <c r="O4" s="2"/>
      <c r="P4" s="8"/>
      <c r="Q4" s="49"/>
      <c r="R4" s="60">
        <f t="shared" si="0"/>
        <v>0</v>
      </c>
    </row>
    <row r="5" spans="1:18" ht="14.25">
      <c r="A5" s="66"/>
      <c r="B5" s="75"/>
      <c r="C5" s="76"/>
      <c r="D5" s="70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8"/>
      <c r="Q5" s="49"/>
      <c r="R5" s="60">
        <f t="shared" si="0"/>
        <v>0</v>
      </c>
    </row>
    <row r="6" spans="1:18" ht="14.25">
      <c r="A6" s="66"/>
      <c r="B6" s="75"/>
      <c r="C6" s="76"/>
      <c r="D6" s="70"/>
      <c r="E6" s="3"/>
      <c r="F6" s="3"/>
      <c r="G6" s="3"/>
      <c r="H6" s="2"/>
      <c r="I6" s="2"/>
      <c r="J6" s="2"/>
      <c r="K6" s="2"/>
      <c r="L6" s="8"/>
      <c r="M6" s="2"/>
      <c r="N6" s="2"/>
      <c r="O6" s="2"/>
      <c r="P6" s="8"/>
      <c r="Q6" s="49"/>
      <c r="R6" s="60">
        <f t="shared" si="0"/>
        <v>0</v>
      </c>
    </row>
    <row r="7" spans="1:18" ht="14.25">
      <c r="A7" s="66"/>
      <c r="B7" s="75"/>
      <c r="C7" s="76"/>
      <c r="D7" s="70"/>
      <c r="E7" s="3"/>
      <c r="F7" s="3"/>
      <c r="G7" s="3"/>
      <c r="H7" s="2"/>
      <c r="I7" s="2"/>
      <c r="J7" s="2"/>
      <c r="K7" s="2"/>
      <c r="L7" s="2"/>
      <c r="M7" s="2"/>
      <c r="N7" s="2"/>
      <c r="O7" s="8"/>
      <c r="P7" s="8"/>
      <c r="Q7" s="49"/>
      <c r="R7" s="60">
        <f t="shared" si="0"/>
        <v>0</v>
      </c>
    </row>
    <row r="8" spans="1:18" ht="14.25">
      <c r="A8" s="66"/>
      <c r="B8" s="75"/>
      <c r="C8" s="76"/>
      <c r="D8" s="70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8"/>
      <c r="Q8" s="49"/>
      <c r="R8" s="60">
        <f t="shared" si="0"/>
        <v>0</v>
      </c>
    </row>
    <row r="9" spans="1:18" ht="14.25">
      <c r="A9" s="66"/>
      <c r="B9" s="75"/>
      <c r="C9" s="76"/>
      <c r="D9" s="70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8"/>
      <c r="Q9" s="49"/>
      <c r="R9" s="60">
        <f t="shared" si="0"/>
        <v>0</v>
      </c>
    </row>
    <row r="10" spans="1:18" ht="15" thickBot="1">
      <c r="A10" s="67"/>
      <c r="B10" s="77"/>
      <c r="C10" s="78"/>
      <c r="D10" s="71"/>
      <c r="E10" s="52"/>
      <c r="F10" s="52"/>
      <c r="G10" s="52"/>
      <c r="H10" s="37"/>
      <c r="I10" s="37"/>
      <c r="J10" s="37"/>
      <c r="K10" s="37"/>
      <c r="L10" s="53"/>
      <c r="M10" s="53"/>
      <c r="N10" s="37"/>
      <c r="O10" s="37"/>
      <c r="P10" s="39"/>
      <c r="Q10" s="57"/>
      <c r="R10" s="61">
        <f t="shared" si="0"/>
        <v>0</v>
      </c>
    </row>
    <row r="11" spans="1:28" s="21" customFormat="1" ht="14.25">
      <c r="A11" s="51"/>
      <c r="B11" s="15"/>
      <c r="C11" s="15"/>
      <c r="D11" s="20"/>
      <c r="E11" s="20"/>
      <c r="F11" s="20"/>
      <c r="G11" s="20"/>
      <c r="H11" s="15"/>
      <c r="I11" s="15"/>
      <c r="J11" s="15"/>
      <c r="K11" s="15"/>
      <c r="L11" s="27"/>
      <c r="M11" s="27"/>
      <c r="N11" s="15"/>
      <c r="O11" s="15"/>
      <c r="P11" s="27"/>
      <c r="Q11" s="27"/>
      <c r="R11" s="19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18" s="15" customFormat="1" ht="14.25">
      <c r="A12" s="51"/>
      <c r="D12" s="20"/>
      <c r="E12" s="20"/>
      <c r="F12" s="20"/>
      <c r="G12" s="20"/>
      <c r="L12" s="27"/>
      <c r="M12" s="27"/>
      <c r="P12" s="27"/>
      <c r="Q12" s="27"/>
      <c r="R12" s="19"/>
    </row>
    <row r="13" spans="4:18" s="15" customFormat="1" ht="14.25">
      <c r="D13" s="20"/>
      <c r="E13" s="20"/>
      <c r="F13" s="20"/>
      <c r="G13" s="20"/>
      <c r="R13" s="16"/>
    </row>
    <row r="14" s="29" customFormat="1" ht="14.25">
      <c r="A14" s="29" t="s">
        <v>68</v>
      </c>
    </row>
    <row r="15" s="30" customFormat="1" ht="14.25">
      <c r="A15" s="30" t="s">
        <v>43</v>
      </c>
    </row>
    <row r="16" s="29" customFormat="1" ht="14.25">
      <c r="A16" s="29" t="s">
        <v>53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5" customWidth="1"/>
    <col min="31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 t="s">
        <v>56</v>
      </c>
      <c r="B3" s="73" t="s">
        <v>41</v>
      </c>
      <c r="C3" s="74" t="s">
        <v>35</v>
      </c>
      <c r="D3" s="69"/>
      <c r="E3" s="13"/>
      <c r="F3" s="120">
        <f>100-(32.13-32.13)/32.13*50</f>
        <v>100</v>
      </c>
      <c r="G3" s="120">
        <f>100-(48.88-48.88)/48.88*50</f>
        <v>100</v>
      </c>
      <c r="H3" s="12"/>
      <c r="I3" s="12"/>
      <c r="J3" s="12"/>
      <c r="K3" s="12"/>
      <c r="L3" s="14"/>
      <c r="M3" s="14"/>
      <c r="N3" s="14"/>
      <c r="O3" s="12"/>
      <c r="P3" s="12"/>
      <c r="Q3" s="28"/>
      <c r="R3" s="59">
        <f aca="true" t="shared" si="0" ref="R3:R10">SUM(D3:Q3)</f>
        <v>200</v>
      </c>
    </row>
    <row r="4" spans="1:18" ht="14.25">
      <c r="A4" s="66" t="s">
        <v>57</v>
      </c>
      <c r="B4" s="75" t="s">
        <v>98</v>
      </c>
      <c r="C4" s="76" t="s">
        <v>99</v>
      </c>
      <c r="D4" s="70"/>
      <c r="E4" s="3"/>
      <c r="F4" s="8">
        <f>100-(40.58-32.13)/32.13*50</f>
        <v>86.85029567382509</v>
      </c>
      <c r="G4" s="8">
        <f>100-(53.75-48.88)/48.88*50</f>
        <v>95.0184124386252</v>
      </c>
      <c r="H4" s="2"/>
      <c r="I4" s="2"/>
      <c r="J4" s="2"/>
      <c r="K4" s="2"/>
      <c r="L4" s="8"/>
      <c r="M4" s="2"/>
      <c r="N4" s="2"/>
      <c r="O4" s="2"/>
      <c r="P4" s="2"/>
      <c r="Q4" s="49"/>
      <c r="R4" s="60">
        <f t="shared" si="0"/>
        <v>181.8687081124503</v>
      </c>
    </row>
    <row r="5" spans="1:18" ht="14.25">
      <c r="A5" s="66" t="s">
        <v>58</v>
      </c>
      <c r="B5" s="75" t="s">
        <v>100</v>
      </c>
      <c r="C5" s="76" t="s">
        <v>99</v>
      </c>
      <c r="D5" s="70"/>
      <c r="E5" s="3"/>
      <c r="F5" s="14">
        <f>100-(44.88-32.13)/32.13*50</f>
        <v>80.15873015873015</v>
      </c>
      <c r="G5" s="121">
        <f>100-(67.87-48.88)/48.88*50</f>
        <v>80.57487725040916</v>
      </c>
      <c r="H5" s="2"/>
      <c r="I5" s="2"/>
      <c r="J5" s="2"/>
      <c r="K5" s="2"/>
      <c r="L5" s="2"/>
      <c r="M5" s="8"/>
      <c r="N5" s="8"/>
      <c r="O5" s="2"/>
      <c r="P5" s="2"/>
      <c r="Q5" s="50"/>
      <c r="R5" s="60">
        <f t="shared" si="0"/>
        <v>160.73360740913932</v>
      </c>
    </row>
    <row r="6" spans="1:18" ht="14.25">
      <c r="A6" s="66"/>
      <c r="B6" s="75"/>
      <c r="C6" s="76"/>
      <c r="D6" s="70"/>
      <c r="E6" s="3"/>
      <c r="F6" s="3"/>
      <c r="G6" s="3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0</v>
      </c>
    </row>
    <row r="7" spans="1:18" ht="14.25">
      <c r="A7" s="66"/>
      <c r="B7" s="75"/>
      <c r="C7" s="76"/>
      <c r="D7" s="70"/>
      <c r="E7" s="3"/>
      <c r="F7" s="3"/>
      <c r="G7" s="3"/>
      <c r="H7" s="2"/>
      <c r="I7" s="2"/>
      <c r="J7" s="2"/>
      <c r="K7" s="2"/>
      <c r="L7" s="2"/>
      <c r="M7" s="8"/>
      <c r="N7" s="2"/>
      <c r="O7" s="2"/>
      <c r="P7" s="2"/>
      <c r="Q7" s="50"/>
      <c r="R7" s="60">
        <f t="shared" si="0"/>
        <v>0</v>
      </c>
    </row>
    <row r="8" spans="1:18" ht="14.25">
      <c r="A8" s="66"/>
      <c r="B8" s="75"/>
      <c r="C8" s="76"/>
      <c r="D8" s="70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2"/>
      <c r="Q8" s="50"/>
      <c r="R8" s="60">
        <f t="shared" si="0"/>
        <v>0</v>
      </c>
    </row>
    <row r="9" spans="1:18" ht="14.25">
      <c r="A9" s="66"/>
      <c r="B9" s="75"/>
      <c r="C9" s="76"/>
      <c r="D9" s="70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2"/>
      <c r="Q9" s="50"/>
      <c r="R9" s="60">
        <f t="shared" si="0"/>
        <v>0</v>
      </c>
    </row>
    <row r="10" spans="1:18" ht="15" thickBot="1">
      <c r="A10" s="67"/>
      <c r="B10" s="77"/>
      <c r="C10" s="78"/>
      <c r="D10" s="71"/>
      <c r="E10" s="52"/>
      <c r="F10" s="52"/>
      <c r="G10" s="52"/>
      <c r="H10" s="37"/>
      <c r="I10" s="37"/>
      <c r="J10" s="37"/>
      <c r="K10" s="37"/>
      <c r="L10" s="37"/>
      <c r="M10" s="37"/>
      <c r="N10" s="37"/>
      <c r="O10" s="37"/>
      <c r="P10" s="37"/>
      <c r="Q10" s="57"/>
      <c r="R10" s="61">
        <f t="shared" si="0"/>
        <v>0</v>
      </c>
    </row>
    <row r="11" spans="1:18" ht="14.25">
      <c r="A11" s="99"/>
      <c r="B11" s="15"/>
      <c r="C11" s="15"/>
      <c r="D11" s="20"/>
      <c r="E11" s="20"/>
      <c r="F11" s="20"/>
      <c r="G11" s="20"/>
      <c r="H11" s="15"/>
      <c r="I11" s="15"/>
      <c r="J11" s="15"/>
      <c r="K11" s="15"/>
      <c r="L11" s="15"/>
      <c r="M11" s="15"/>
      <c r="N11" s="15"/>
      <c r="O11" s="15"/>
      <c r="P11" s="15"/>
      <c r="Q11" s="98"/>
      <c r="R11" s="19"/>
    </row>
    <row r="12" spans="1:18" ht="14.25">
      <c r="A12" s="99"/>
      <c r="B12" s="15"/>
      <c r="C12" s="15"/>
      <c r="D12" s="20"/>
      <c r="E12" s="20"/>
      <c r="F12" s="20"/>
      <c r="G12" s="20"/>
      <c r="H12" s="15"/>
      <c r="I12" s="15"/>
      <c r="J12" s="15"/>
      <c r="K12" s="15"/>
      <c r="L12" s="15"/>
      <c r="M12" s="15"/>
      <c r="N12" s="15"/>
      <c r="O12" s="15"/>
      <c r="P12" s="15"/>
      <c r="Q12" s="98"/>
      <c r="R12" s="19"/>
    </row>
    <row r="13" spans="1:18" ht="14.25">
      <c r="A13" s="15"/>
      <c r="B13" s="15"/>
      <c r="C13" s="15"/>
      <c r="D13" s="20"/>
      <c r="E13" s="20"/>
      <c r="F13" s="20"/>
      <c r="G13" s="2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="29" customFormat="1" ht="14.25">
      <c r="A14" s="29" t="s">
        <v>68</v>
      </c>
    </row>
    <row r="15" s="30" customFormat="1" ht="14.25">
      <c r="A15" s="30" t="s">
        <v>43</v>
      </c>
    </row>
    <row r="16" s="29" customFormat="1" ht="14.25">
      <c r="A16" s="29" t="s">
        <v>53</v>
      </c>
    </row>
  </sheetData>
  <sheetProtection/>
  <autoFilter ref="B2:R2">
    <sortState ref="B3:R16">
      <sortCondition descending="1" sortBy="value" ref="Q3:Q1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F2" sqref="F2:G2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5" customWidth="1"/>
    <col min="28" max="16384" width="9.00390625" style="1" customWidth="1"/>
  </cols>
  <sheetData>
    <row r="1" spans="1:20" ht="32.2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64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65"/>
      <c r="B3" s="73"/>
      <c r="C3" s="74"/>
      <c r="D3" s="80"/>
      <c r="E3" s="14"/>
      <c r="F3" s="85"/>
      <c r="G3" s="14"/>
      <c r="H3" s="85"/>
      <c r="I3" s="14"/>
      <c r="J3" s="14"/>
      <c r="K3" s="85"/>
      <c r="L3" s="14"/>
      <c r="M3" s="85"/>
      <c r="N3" s="14"/>
      <c r="O3" s="14"/>
      <c r="P3" s="14"/>
      <c r="Q3" s="55"/>
      <c r="R3" s="59">
        <f>SUM(D3:Q3)</f>
        <v>0</v>
      </c>
    </row>
    <row r="4" spans="1:18" ht="14.25">
      <c r="A4" s="66"/>
      <c r="B4" s="75"/>
      <c r="C4" s="76"/>
      <c r="D4" s="87"/>
      <c r="E4" s="8"/>
      <c r="F4" s="7"/>
      <c r="G4" s="7"/>
      <c r="H4" s="9"/>
      <c r="I4" s="8"/>
      <c r="J4" s="8"/>
      <c r="K4" s="7"/>
      <c r="L4" s="8"/>
      <c r="M4" s="8"/>
      <c r="N4" s="7"/>
      <c r="O4" s="8"/>
      <c r="P4" s="8"/>
      <c r="Q4" s="49"/>
      <c r="R4" s="60">
        <f>SUM(D4:Q4)</f>
        <v>0</v>
      </c>
    </row>
    <row r="5" spans="1:18" ht="14.25">
      <c r="A5" s="66"/>
      <c r="B5" s="75"/>
      <c r="C5" s="76"/>
      <c r="D5" s="32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/>
      <c r="Q5" s="49"/>
      <c r="R5" s="60">
        <f>SUM(D5:Q5)</f>
        <v>0</v>
      </c>
    </row>
    <row r="6" spans="1:18" ht="14.25">
      <c r="A6" s="66"/>
      <c r="B6" s="75"/>
      <c r="C6" s="76"/>
      <c r="D6" s="32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/>
      <c r="Q6" s="56"/>
      <c r="R6" s="60">
        <f>SUM(D6:Q6)</f>
        <v>0</v>
      </c>
    </row>
    <row r="7" spans="1:18" ht="15" thickBot="1">
      <c r="A7" s="67"/>
      <c r="B7" s="77"/>
      <c r="C7" s="78"/>
      <c r="D7" s="83"/>
      <c r="E7" s="38"/>
      <c r="F7" s="42"/>
      <c r="G7" s="42"/>
      <c r="H7" s="38"/>
      <c r="I7" s="38"/>
      <c r="J7" s="38"/>
      <c r="K7" s="38"/>
      <c r="L7" s="86"/>
      <c r="M7" s="38"/>
      <c r="N7" s="38"/>
      <c r="O7" s="53"/>
      <c r="P7" s="38"/>
      <c r="Q7" s="57"/>
      <c r="R7" s="61">
        <f>SUM(D7:Q7)</f>
        <v>0</v>
      </c>
    </row>
    <row r="8" spans="1:18" ht="14.25">
      <c r="A8" s="15"/>
      <c r="B8" s="15"/>
      <c r="C8" s="15"/>
      <c r="D8" s="15"/>
      <c r="E8" s="15"/>
      <c r="F8" s="20"/>
      <c r="G8" s="20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</row>
    <row r="9" s="29" customFormat="1" ht="14.25">
      <c r="A9" s="29" t="s">
        <v>68</v>
      </c>
    </row>
    <row r="10" s="30" customFormat="1" ht="14.25">
      <c r="A10" s="30" t="s">
        <v>43</v>
      </c>
    </row>
    <row r="11" s="29" customFormat="1" ht="14.25">
      <c r="A11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5" customWidth="1"/>
    <col min="28" max="16384" width="9.00390625" style="1" customWidth="1"/>
  </cols>
  <sheetData>
    <row r="1" spans="1:20" ht="34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101</v>
      </c>
      <c r="C3" s="102" t="s">
        <v>99</v>
      </c>
      <c r="D3" s="112"/>
      <c r="E3" s="112"/>
      <c r="F3" s="104">
        <f>100-(43.18-43.18)/43.18*50</f>
        <v>100</v>
      </c>
      <c r="G3" s="104">
        <f>100-(82.48-82.48)/82.48*50</f>
        <v>100</v>
      </c>
      <c r="H3" s="112"/>
      <c r="I3" s="112"/>
      <c r="J3" s="112"/>
      <c r="K3" s="112"/>
      <c r="L3" s="112"/>
      <c r="M3" s="112"/>
      <c r="N3" s="112"/>
      <c r="O3" s="112"/>
      <c r="P3" s="104"/>
      <c r="Q3" s="114"/>
      <c r="R3" s="115">
        <f aca="true" t="shared" si="0" ref="R3:R9">SUM(D3:Q3)</f>
        <v>200</v>
      </c>
    </row>
    <row r="4" spans="1:18" ht="14.25">
      <c r="A4" s="90" t="s">
        <v>57</v>
      </c>
      <c r="B4" s="75" t="s">
        <v>29</v>
      </c>
      <c r="C4" s="76" t="s">
        <v>30</v>
      </c>
      <c r="D4" s="32"/>
      <c r="E4" s="2"/>
      <c r="F4" s="8">
        <f>100-(47.43-43.18)/43.18*50</f>
        <v>95.07874015748031</v>
      </c>
      <c r="G4" s="8">
        <f>100-(98.03-82.48)/82.48*50</f>
        <v>90.57347235693501</v>
      </c>
      <c r="H4" s="2"/>
      <c r="I4" s="2"/>
      <c r="J4" s="2"/>
      <c r="K4" s="2"/>
      <c r="L4" s="2"/>
      <c r="M4" s="2"/>
      <c r="N4" s="2"/>
      <c r="O4" s="2"/>
      <c r="P4" s="8"/>
      <c r="Q4" s="49"/>
      <c r="R4" s="60">
        <f t="shared" si="0"/>
        <v>185.65221251441534</v>
      </c>
    </row>
    <row r="5" spans="1:18" ht="14.25">
      <c r="A5" s="90" t="s">
        <v>58</v>
      </c>
      <c r="B5" s="75" t="s">
        <v>48</v>
      </c>
      <c r="C5" s="76" t="s">
        <v>4</v>
      </c>
      <c r="D5" s="87"/>
      <c r="E5" s="8">
        <f>100-(69.6-69.6)/69.6*50</f>
        <v>100</v>
      </c>
      <c r="F5" s="7"/>
      <c r="G5" s="7"/>
      <c r="H5" s="11"/>
      <c r="I5" s="8"/>
      <c r="J5" s="8"/>
      <c r="K5" s="7"/>
      <c r="L5" s="8"/>
      <c r="M5" s="8"/>
      <c r="N5" s="7"/>
      <c r="O5" s="8"/>
      <c r="P5" s="8"/>
      <c r="Q5" s="49"/>
      <c r="R5" s="60">
        <f t="shared" si="0"/>
        <v>100</v>
      </c>
    </row>
    <row r="6" spans="1:18" ht="14.25">
      <c r="A6" s="90" t="s">
        <v>59</v>
      </c>
      <c r="B6" s="75" t="s">
        <v>41</v>
      </c>
      <c r="C6" s="76" t="s">
        <v>35</v>
      </c>
      <c r="D6" s="32"/>
      <c r="E6" s="8">
        <f>100-(98.75-69.6)/69.6*50</f>
        <v>79.058908045977</v>
      </c>
      <c r="F6" s="3"/>
      <c r="G6" s="3"/>
      <c r="H6" s="2"/>
      <c r="I6" s="2"/>
      <c r="J6" s="2"/>
      <c r="K6" s="2"/>
      <c r="L6" s="2"/>
      <c r="M6" s="2"/>
      <c r="N6" s="8"/>
      <c r="O6" s="11"/>
      <c r="P6" s="8"/>
      <c r="Q6" s="49"/>
      <c r="R6" s="60">
        <f t="shared" si="0"/>
        <v>79.058908045977</v>
      </c>
    </row>
    <row r="7" spans="1:18" ht="14.25">
      <c r="A7" s="90" t="s">
        <v>60</v>
      </c>
      <c r="B7" s="75" t="s">
        <v>38</v>
      </c>
      <c r="C7" s="76" t="s">
        <v>4</v>
      </c>
      <c r="D7" s="32"/>
      <c r="E7" s="8">
        <f>100-(112.67-69.6)/69.6*50</f>
        <v>69.058908045977</v>
      </c>
      <c r="F7" s="3"/>
      <c r="G7" s="3"/>
      <c r="H7" s="2"/>
      <c r="I7" s="2"/>
      <c r="J7" s="2"/>
      <c r="K7" s="2"/>
      <c r="L7" s="2"/>
      <c r="M7" s="2"/>
      <c r="N7" s="2"/>
      <c r="O7" s="2"/>
      <c r="P7" s="8"/>
      <c r="Q7" s="49"/>
      <c r="R7" s="60">
        <f t="shared" si="0"/>
        <v>69.058908045977</v>
      </c>
    </row>
    <row r="8" spans="1:18" ht="14.25">
      <c r="A8" s="90" t="s">
        <v>61</v>
      </c>
      <c r="B8" s="75" t="s">
        <v>42</v>
      </c>
      <c r="C8" s="76" t="s">
        <v>9</v>
      </c>
      <c r="D8" s="117" t="s">
        <v>52</v>
      </c>
      <c r="E8" s="8">
        <f>100-(113.77-69.6)/69.6*50</f>
        <v>68.26867816091954</v>
      </c>
      <c r="F8" s="11"/>
      <c r="G8" s="8"/>
      <c r="H8" s="11"/>
      <c r="I8" s="8"/>
      <c r="J8" s="8"/>
      <c r="K8" s="11"/>
      <c r="L8" s="8"/>
      <c r="M8" s="11"/>
      <c r="N8" s="8"/>
      <c r="O8" s="8"/>
      <c r="P8" s="8"/>
      <c r="Q8" s="49"/>
      <c r="R8" s="60">
        <f t="shared" si="0"/>
        <v>68.26867816091954</v>
      </c>
    </row>
    <row r="9" spans="1:18" ht="14.25">
      <c r="A9" s="90" t="s">
        <v>62</v>
      </c>
      <c r="B9" s="75" t="s">
        <v>102</v>
      </c>
      <c r="C9" s="74" t="s">
        <v>2</v>
      </c>
      <c r="D9" s="32"/>
      <c r="E9" s="2"/>
      <c r="F9" s="8">
        <f>100-(95.35-43.18)/43.18*50</f>
        <v>39.590088003705425</v>
      </c>
      <c r="G9" s="3"/>
      <c r="H9" s="2"/>
      <c r="I9" s="2"/>
      <c r="J9" s="2"/>
      <c r="K9" s="2"/>
      <c r="L9" s="2"/>
      <c r="M9" s="2"/>
      <c r="N9" s="2"/>
      <c r="O9" s="2"/>
      <c r="P9" s="8"/>
      <c r="Q9" s="49"/>
      <c r="R9" s="60">
        <f t="shared" si="0"/>
        <v>39.590088003705425</v>
      </c>
    </row>
    <row r="10" spans="1:18" ht="14.25">
      <c r="A10" s="90"/>
      <c r="B10" s="75"/>
      <c r="C10" s="76"/>
      <c r="D10" s="32"/>
      <c r="E10" s="2"/>
      <c r="F10" s="3"/>
      <c r="G10" s="3"/>
      <c r="H10" s="2"/>
      <c r="I10" s="2"/>
      <c r="J10" s="2"/>
      <c r="K10" s="2"/>
      <c r="L10" s="2"/>
      <c r="M10" s="8"/>
      <c r="N10" s="2"/>
      <c r="O10" s="2"/>
      <c r="P10" s="2"/>
      <c r="Q10" s="50"/>
      <c r="R10" s="60">
        <f>SUM(D10:Q10)</f>
        <v>0</v>
      </c>
    </row>
    <row r="11" spans="1:18" ht="14.25">
      <c r="A11" s="90"/>
      <c r="B11" s="75"/>
      <c r="C11" s="76"/>
      <c r="D11" s="32"/>
      <c r="E11" s="2"/>
      <c r="F11" s="3"/>
      <c r="G11" s="3"/>
      <c r="H11" s="2"/>
      <c r="I11" s="2"/>
      <c r="J11" s="2"/>
      <c r="K11" s="2"/>
      <c r="L11" s="2"/>
      <c r="M11" s="2"/>
      <c r="N11" s="8"/>
      <c r="O11" s="2"/>
      <c r="P11" s="2"/>
      <c r="Q11" s="50"/>
      <c r="R11" s="60">
        <f>SUM(D11:Q11)</f>
        <v>0</v>
      </c>
    </row>
    <row r="12" spans="1:18" ht="14.25">
      <c r="A12" s="90"/>
      <c r="B12" s="75"/>
      <c r="C12" s="76"/>
      <c r="D12" s="81"/>
      <c r="E12" s="8"/>
      <c r="F12" s="7"/>
      <c r="G12" s="7"/>
      <c r="H12" s="8"/>
      <c r="I12" s="8"/>
      <c r="J12" s="8"/>
      <c r="K12" s="8"/>
      <c r="L12" s="11"/>
      <c r="M12" s="8"/>
      <c r="N12" s="8"/>
      <c r="O12" s="11"/>
      <c r="P12" s="8"/>
      <c r="Q12" s="49"/>
      <c r="R12" s="60">
        <f>SUM(D12:Q12)</f>
        <v>0</v>
      </c>
    </row>
    <row r="13" spans="1:18" ht="14.25">
      <c r="A13" s="90"/>
      <c r="B13" s="75"/>
      <c r="C13" s="76"/>
      <c r="D13" s="32"/>
      <c r="E13" s="2"/>
      <c r="F13" s="3"/>
      <c r="G13" s="3"/>
      <c r="H13" s="2"/>
      <c r="I13" s="2"/>
      <c r="J13" s="2"/>
      <c r="K13" s="2"/>
      <c r="L13" s="8"/>
      <c r="M13" s="2"/>
      <c r="N13" s="2"/>
      <c r="O13" s="2"/>
      <c r="P13" s="2"/>
      <c r="Q13" s="50"/>
      <c r="R13" s="60">
        <f>SUM(D13:Q13)</f>
        <v>0</v>
      </c>
    </row>
    <row r="14" spans="1:18" ht="15" thickBot="1">
      <c r="A14" s="91"/>
      <c r="B14" s="77"/>
      <c r="C14" s="78"/>
      <c r="D14" s="63"/>
      <c r="E14" s="37"/>
      <c r="F14" s="52"/>
      <c r="G14" s="52"/>
      <c r="H14" s="37"/>
      <c r="I14" s="37"/>
      <c r="J14" s="37"/>
      <c r="K14" s="37"/>
      <c r="L14" s="37"/>
      <c r="M14" s="38"/>
      <c r="N14" s="37"/>
      <c r="O14" s="37"/>
      <c r="P14" s="37"/>
      <c r="Q14" s="92"/>
      <c r="R14" s="61">
        <f>SUM(D14:Q14)</f>
        <v>0</v>
      </c>
    </row>
    <row r="15" spans="1:18" ht="14.25">
      <c r="A15" s="15"/>
      <c r="B15" s="15"/>
      <c r="C15" s="15"/>
      <c r="D15" s="15"/>
      <c r="E15" s="15"/>
      <c r="F15" s="20"/>
      <c r="G15" s="20"/>
      <c r="H15" s="15"/>
      <c r="I15" s="15"/>
      <c r="J15" s="15"/>
      <c r="K15" s="15"/>
      <c r="L15" s="15"/>
      <c r="M15" s="15"/>
      <c r="N15" s="15"/>
      <c r="O15" s="15"/>
      <c r="P15" s="16"/>
      <c r="Q15" s="15"/>
      <c r="R15" s="15"/>
    </row>
    <row r="16" s="29" customFormat="1" ht="14.25">
      <c r="A16" s="29" t="s">
        <v>68</v>
      </c>
    </row>
    <row r="17" s="30" customFormat="1" ht="14.25">
      <c r="A17" s="30" t="s">
        <v>43</v>
      </c>
    </row>
    <row r="18" s="29" customFormat="1" ht="14.25">
      <c r="A18" s="29" t="s">
        <v>53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L22" sqref="L22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5" customWidth="1"/>
    <col min="30" max="16384" width="9.00390625" style="1" customWidth="1"/>
  </cols>
  <sheetData>
    <row r="1" spans="1:20" ht="32.2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96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39</v>
      </c>
      <c r="C3" s="102" t="s">
        <v>7</v>
      </c>
      <c r="D3" s="100" t="s">
        <v>52</v>
      </c>
      <c r="E3" s="104">
        <f>100-(102.6-101.32)/101.32*50</f>
        <v>99.36833793920253</v>
      </c>
      <c r="F3" s="104">
        <f>100-(79.02-45.05)/45.05*50</f>
        <v>62.29744728079911</v>
      </c>
      <c r="G3" s="104">
        <f>100-(143.53-92.15)/92.15*50</f>
        <v>72.1215409658166</v>
      </c>
      <c r="H3" s="112"/>
      <c r="I3" s="112"/>
      <c r="J3" s="104"/>
      <c r="K3" s="104"/>
      <c r="L3" s="112"/>
      <c r="M3" s="122"/>
      <c r="N3" s="112"/>
      <c r="O3" s="112"/>
      <c r="P3" s="112"/>
      <c r="Q3" s="123"/>
      <c r="R3" s="115">
        <f>SUM(D3:Q3)</f>
        <v>233.78732618581824</v>
      </c>
    </row>
    <row r="4" spans="1:18" ht="14.25">
      <c r="A4" s="90" t="s">
        <v>57</v>
      </c>
      <c r="B4" s="75" t="s">
        <v>78</v>
      </c>
      <c r="C4" s="76" t="s">
        <v>4</v>
      </c>
      <c r="D4" s="48" t="s">
        <v>52</v>
      </c>
      <c r="E4" s="14">
        <f>100-(101.32-101.32)/101.32*50</f>
        <v>100</v>
      </c>
      <c r="F4" s="14"/>
      <c r="G4" s="14"/>
      <c r="H4" s="8"/>
      <c r="I4" s="7"/>
      <c r="J4" s="8"/>
      <c r="K4" s="8"/>
      <c r="L4" s="7"/>
      <c r="M4" s="8"/>
      <c r="N4" s="8"/>
      <c r="O4" s="7"/>
      <c r="P4" s="8"/>
      <c r="Q4" s="49"/>
      <c r="R4" s="60">
        <f>SUM(D4:Q4)</f>
        <v>100</v>
      </c>
    </row>
    <row r="5" spans="1:18" ht="15" thickBot="1">
      <c r="A5" s="91" t="s">
        <v>58</v>
      </c>
      <c r="B5" s="77" t="s">
        <v>79</v>
      </c>
      <c r="C5" s="78" t="s">
        <v>4</v>
      </c>
      <c r="D5" s="83"/>
      <c r="E5" s="116">
        <f>100-(127.08-101.32)/101.32*50</f>
        <v>87.28780102645085</v>
      </c>
      <c r="F5" s="42"/>
      <c r="G5" s="38"/>
      <c r="H5" s="38"/>
      <c r="I5" s="38"/>
      <c r="J5" s="38"/>
      <c r="K5" s="38"/>
      <c r="L5" s="38"/>
      <c r="M5" s="42"/>
      <c r="N5" s="38"/>
      <c r="O5" s="42"/>
      <c r="P5" s="42"/>
      <c r="Q5" s="79"/>
      <c r="R5" s="61">
        <f>SUM(D5:Q5)</f>
        <v>87.28780102645085</v>
      </c>
    </row>
    <row r="6" spans="1:18" ht="14.25">
      <c r="A6" s="15"/>
      <c r="B6" s="15"/>
      <c r="C6" s="15"/>
      <c r="D6" s="16"/>
      <c r="E6" s="16"/>
      <c r="F6" s="17"/>
      <c r="G6" s="16"/>
      <c r="H6" s="16"/>
      <c r="I6" s="16"/>
      <c r="J6" s="16"/>
      <c r="K6" s="16"/>
      <c r="L6" s="16"/>
      <c r="M6" s="17"/>
      <c r="N6" s="16"/>
      <c r="O6" s="17"/>
      <c r="P6" s="17"/>
      <c r="Q6" s="16"/>
      <c r="R6" s="19"/>
    </row>
    <row r="7" spans="1:18" ht="14.25">
      <c r="A7" s="15"/>
      <c r="B7" s="15"/>
      <c r="C7" s="15"/>
      <c r="D7" s="16"/>
      <c r="E7" s="16"/>
      <c r="F7" s="17"/>
      <c r="G7" s="16"/>
      <c r="H7" s="16"/>
      <c r="I7" s="16"/>
      <c r="J7" s="16"/>
      <c r="K7" s="16"/>
      <c r="L7" s="16"/>
      <c r="M7" s="17"/>
      <c r="N7" s="16"/>
      <c r="O7" s="17"/>
      <c r="P7" s="17"/>
      <c r="Q7" s="16"/>
      <c r="R7" s="19"/>
    </row>
    <row r="8" spans="1:18" ht="14.25">
      <c r="A8" s="15"/>
      <c r="B8" s="15"/>
      <c r="C8" s="15"/>
      <c r="D8" s="20"/>
      <c r="E8" s="15"/>
      <c r="F8" s="20"/>
      <c r="G8" s="15"/>
      <c r="H8" s="15"/>
      <c r="I8" s="15"/>
      <c r="J8" s="20"/>
      <c r="K8" s="20"/>
      <c r="L8" s="15"/>
      <c r="M8" s="93"/>
      <c r="N8" s="15"/>
      <c r="O8" s="15"/>
      <c r="P8" s="15"/>
      <c r="Q8" s="15"/>
      <c r="R8" s="15"/>
    </row>
    <row r="9" s="29" customFormat="1" ht="14.25">
      <c r="A9" s="29" t="s">
        <v>68</v>
      </c>
    </row>
    <row r="10" s="30" customFormat="1" ht="14.25">
      <c r="A10" s="30" t="s">
        <v>43</v>
      </c>
    </row>
    <row r="11" s="29" customFormat="1" ht="14.25">
      <c r="A11" s="29" t="s">
        <v>53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>
      <c r="A15" s="15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="15" customFormat="1" ht="14.25">
      <c r="F17" s="20"/>
    </row>
    <row r="18" s="15" customFormat="1" ht="14.25">
      <c r="F18" s="20"/>
    </row>
    <row r="19" s="15" customFormat="1" ht="14.25">
      <c r="F19" s="20"/>
    </row>
    <row r="20" s="15" customFormat="1" ht="14.25">
      <c r="F20" s="20"/>
    </row>
    <row r="21" s="15" customFormat="1" ht="14.25">
      <c r="F21" s="20"/>
    </row>
    <row r="22" s="15" customFormat="1" ht="14.25">
      <c r="F22" s="20"/>
    </row>
    <row r="23" s="15" customFormat="1" ht="14.25">
      <c r="F23" s="20"/>
    </row>
    <row r="24" s="15" customFormat="1" ht="14.25">
      <c r="F24" s="20"/>
    </row>
    <row r="25" s="15" customFormat="1" ht="14.25">
      <c r="F25" s="20"/>
    </row>
    <row r="26" s="15" customFormat="1" ht="14.25">
      <c r="F26" s="20"/>
    </row>
    <row r="27" s="15" customFormat="1" ht="14.25">
      <c r="F27" s="20"/>
    </row>
    <row r="28" s="15" customFormat="1" ht="14.25">
      <c r="F28" s="20"/>
    </row>
    <row r="29" s="15" customFormat="1" ht="14.25">
      <c r="F29" s="20"/>
    </row>
    <row r="30" s="15" customFormat="1" ht="14.25">
      <c r="F30" s="20"/>
    </row>
    <row r="31" s="15" customFormat="1" ht="14.25">
      <c r="F31" s="20"/>
    </row>
    <row r="32" s="15" customFormat="1" ht="14.25">
      <c r="F32" s="20"/>
    </row>
    <row r="33" s="15" customFormat="1" ht="14.25">
      <c r="F33" s="20"/>
    </row>
    <row r="34" s="15" customFormat="1" ht="14.25">
      <c r="F34" s="20"/>
    </row>
    <row r="35" s="15" customFormat="1" ht="14.25">
      <c r="F35" s="20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5" customWidth="1"/>
    <col min="30" max="16384" width="9.00390625" style="1" customWidth="1"/>
  </cols>
  <sheetData>
    <row r="1" spans="1:20" ht="32.2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96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97" t="s">
        <v>56</v>
      </c>
      <c r="B3" s="101" t="s">
        <v>16</v>
      </c>
      <c r="C3" s="102" t="s">
        <v>30</v>
      </c>
      <c r="D3" s="107">
        <f>100-(75.03-62.77)/62.77*50</f>
        <v>90.23418830651585</v>
      </c>
      <c r="E3" s="103">
        <f>100-(109.55-104.22)/104.22*50</f>
        <v>97.442909230474</v>
      </c>
      <c r="F3" s="104">
        <f>100-(50.2-50.2)/50.2*50</f>
        <v>100</v>
      </c>
      <c r="G3" s="100" t="s">
        <v>52</v>
      </c>
      <c r="H3" s="112"/>
      <c r="I3" s="112"/>
      <c r="J3" s="104"/>
      <c r="K3" s="104"/>
      <c r="L3" s="112"/>
      <c r="M3" s="122"/>
      <c r="N3" s="112"/>
      <c r="O3" s="112"/>
      <c r="P3" s="112"/>
      <c r="Q3" s="102"/>
      <c r="R3" s="59">
        <f>SUM(D3:Q3)</f>
        <v>287.67709753698983</v>
      </c>
    </row>
    <row r="4" spans="1:18" ht="14.25">
      <c r="A4" s="90" t="s">
        <v>57</v>
      </c>
      <c r="B4" s="75" t="s">
        <v>21</v>
      </c>
      <c r="C4" s="74" t="s">
        <v>7</v>
      </c>
      <c r="D4" s="108">
        <f>100-(62.77-62.77)/62.77*50</f>
        <v>100</v>
      </c>
      <c r="E4" s="80">
        <f>100-(104.22-104.22)/104.22*50</f>
        <v>100</v>
      </c>
      <c r="F4" s="80"/>
      <c r="G4" s="81"/>
      <c r="H4" s="8"/>
      <c r="I4" s="7"/>
      <c r="J4" s="8"/>
      <c r="K4" s="8"/>
      <c r="L4" s="7"/>
      <c r="M4" s="8"/>
      <c r="N4" s="8"/>
      <c r="O4" s="7"/>
      <c r="P4" s="8"/>
      <c r="Q4" s="124"/>
      <c r="R4" s="60">
        <f>SUM(D4:Q4)</f>
        <v>200</v>
      </c>
    </row>
    <row r="5" spans="1:18" ht="15" thickBot="1">
      <c r="A5" s="91" t="s">
        <v>58</v>
      </c>
      <c r="B5" s="77" t="s">
        <v>29</v>
      </c>
      <c r="C5" s="95" t="s">
        <v>30</v>
      </c>
      <c r="D5" s="109">
        <f>100-(137.85-62.77)/62.77*50</f>
        <v>40.194360363230864</v>
      </c>
      <c r="E5" s="94">
        <f>100-(170.55-104.22)/104.22*50</f>
        <v>68.17789291882556</v>
      </c>
      <c r="F5" s="42"/>
      <c r="G5" s="38"/>
      <c r="H5" s="38"/>
      <c r="I5" s="38"/>
      <c r="J5" s="38"/>
      <c r="K5" s="38"/>
      <c r="L5" s="38"/>
      <c r="M5" s="42"/>
      <c r="N5" s="38"/>
      <c r="O5" s="42"/>
      <c r="P5" s="42"/>
      <c r="Q5" s="106"/>
      <c r="R5" s="61">
        <f>SUM(D5:Q5)</f>
        <v>108.37225328205642</v>
      </c>
    </row>
    <row r="6" spans="1:18" ht="14.25">
      <c r="A6" s="15"/>
      <c r="B6" s="15"/>
      <c r="C6" s="15"/>
      <c r="D6" s="16"/>
      <c r="E6" s="16"/>
      <c r="F6" s="17"/>
      <c r="G6" s="16"/>
      <c r="H6" s="16"/>
      <c r="I6" s="16"/>
      <c r="J6" s="16"/>
      <c r="K6" s="16"/>
      <c r="L6" s="16"/>
      <c r="M6" s="17"/>
      <c r="N6" s="16"/>
      <c r="O6" s="17"/>
      <c r="P6" s="17"/>
      <c r="Q6" s="16"/>
      <c r="R6" s="19"/>
    </row>
    <row r="7" spans="1:18" ht="14.25">
      <c r="A7" s="15"/>
      <c r="B7" s="15"/>
      <c r="C7" s="15"/>
      <c r="D7" s="16"/>
      <c r="E7" s="16"/>
      <c r="F7" s="17"/>
      <c r="G7" s="16"/>
      <c r="H7" s="16"/>
      <c r="I7" s="16"/>
      <c r="J7" s="16"/>
      <c r="K7" s="16"/>
      <c r="L7" s="16"/>
      <c r="M7" s="17"/>
      <c r="N7" s="16"/>
      <c r="O7" s="17"/>
      <c r="P7" s="17"/>
      <c r="Q7" s="16"/>
      <c r="R7" s="19"/>
    </row>
    <row r="8" spans="1:18" ht="14.25">
      <c r="A8" s="15"/>
      <c r="B8" s="15"/>
      <c r="C8" s="15"/>
      <c r="D8" s="20"/>
      <c r="E8" s="15"/>
      <c r="F8" s="20"/>
      <c r="G8" s="15"/>
      <c r="H8" s="15"/>
      <c r="I8" s="15"/>
      <c r="J8" s="20"/>
      <c r="K8" s="20"/>
      <c r="L8" s="15"/>
      <c r="M8" s="93"/>
      <c r="N8" s="15"/>
      <c r="O8" s="15"/>
      <c r="P8" s="15"/>
      <c r="Q8" s="15"/>
      <c r="R8" s="15"/>
    </row>
    <row r="9" s="29" customFormat="1" ht="14.25">
      <c r="A9" s="29" t="s">
        <v>68</v>
      </c>
    </row>
    <row r="10" s="30" customFormat="1" ht="14.25">
      <c r="A10" s="30" t="s">
        <v>43</v>
      </c>
    </row>
    <row r="11" s="29" customFormat="1" ht="14.25">
      <c r="A11" s="29" t="s">
        <v>53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>
      <c r="A15" s="15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="15" customFormat="1" ht="14.25">
      <c r="F17" s="20"/>
    </row>
    <row r="18" s="15" customFormat="1" ht="14.25">
      <c r="F18" s="20"/>
    </row>
    <row r="19" s="15" customFormat="1" ht="14.25">
      <c r="F19" s="20"/>
    </row>
    <row r="20" s="15" customFormat="1" ht="14.25">
      <c r="F20" s="20"/>
    </row>
    <row r="21" s="15" customFormat="1" ht="14.25">
      <c r="F21" s="20"/>
    </row>
    <row r="22" s="15" customFormat="1" ht="14.25">
      <c r="F22" s="20"/>
    </row>
    <row r="23" s="15" customFormat="1" ht="14.25">
      <c r="F23" s="20"/>
    </row>
    <row r="24" s="15" customFormat="1" ht="14.25">
      <c r="F24" s="20"/>
    </row>
    <row r="25" s="15" customFormat="1" ht="14.25">
      <c r="F25" s="20"/>
    </row>
    <row r="26" s="15" customFormat="1" ht="14.25">
      <c r="F26" s="20"/>
    </row>
    <row r="27" s="15" customFormat="1" ht="14.25">
      <c r="F27" s="20"/>
    </row>
    <row r="28" s="15" customFormat="1" ht="14.25">
      <c r="F28" s="20"/>
    </row>
    <row r="29" s="15" customFormat="1" ht="14.25">
      <c r="F29" s="20"/>
    </row>
    <row r="30" s="15" customFormat="1" ht="14.25">
      <c r="F30" s="20"/>
    </row>
    <row r="31" s="15" customFormat="1" ht="14.25">
      <c r="F31" s="20"/>
    </row>
    <row r="32" s="15" customFormat="1" ht="14.25">
      <c r="F32" s="20"/>
    </row>
    <row r="33" s="15" customFormat="1" ht="14.25">
      <c r="F33" s="20"/>
    </row>
    <row r="34" s="15" customFormat="1" ht="14.25">
      <c r="F34" s="20"/>
    </row>
    <row r="35" s="15" customFormat="1" ht="14.25">
      <c r="F35" s="20"/>
    </row>
  </sheetData>
  <sheetProtection/>
  <autoFilter ref="B2:R2">
    <sortState ref="B3:R35">
      <sortCondition descending="1" sortBy="value" ref="Q3:Q3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5" sqref="A5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5" customWidth="1"/>
    <col min="29" max="16384" width="9.00390625" style="1" customWidth="1"/>
  </cols>
  <sheetData>
    <row r="1" spans="1:20" ht="28.5" customHeight="1" thickBo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  <c r="S1" s="33"/>
      <c r="T1" s="33"/>
    </row>
    <row r="2" spans="1:20" ht="138" thickBot="1">
      <c r="A2" s="88" t="s">
        <v>54</v>
      </c>
      <c r="B2" s="44" t="s">
        <v>55</v>
      </c>
      <c r="C2" s="72" t="s">
        <v>0</v>
      </c>
      <c r="D2" s="68" t="s">
        <v>66</v>
      </c>
      <c r="E2" s="46" t="s">
        <v>67</v>
      </c>
      <c r="F2" s="68" t="s">
        <v>95</v>
      </c>
      <c r="G2" s="68" t="s">
        <v>96</v>
      </c>
      <c r="H2" s="46"/>
      <c r="I2" s="46"/>
      <c r="J2" s="46"/>
      <c r="K2" s="46"/>
      <c r="L2" s="46"/>
      <c r="M2" s="46"/>
      <c r="N2" s="46"/>
      <c r="O2" s="46"/>
      <c r="P2" s="46"/>
      <c r="Q2" s="54"/>
      <c r="R2" s="58" t="s">
        <v>1</v>
      </c>
      <c r="S2" s="31"/>
      <c r="T2" s="31"/>
    </row>
    <row r="3" spans="1:18" ht="14.25">
      <c r="A3" s="89" t="s">
        <v>56</v>
      </c>
      <c r="B3" s="73" t="s">
        <v>92</v>
      </c>
      <c r="C3" s="74" t="s">
        <v>9</v>
      </c>
      <c r="D3" s="110" t="s">
        <v>52</v>
      </c>
      <c r="E3" s="110" t="s">
        <v>52</v>
      </c>
      <c r="F3" s="14">
        <f>100-(63-40.38)/40.38*50</f>
        <v>71.99108469539377</v>
      </c>
      <c r="G3" s="14">
        <f>100-(64.63-57.53)/57.53*50</f>
        <v>93.82930644880932</v>
      </c>
      <c r="H3" s="12"/>
      <c r="I3" s="12"/>
      <c r="J3" s="12"/>
      <c r="K3" s="12"/>
      <c r="L3" s="12"/>
      <c r="M3" s="14"/>
      <c r="N3" s="14"/>
      <c r="O3" s="14"/>
      <c r="P3" s="12"/>
      <c r="Q3" s="28"/>
      <c r="R3" s="59">
        <f aca="true" t="shared" si="0" ref="R3:R11">SUM(D3:Q3)</f>
        <v>165.82039114420309</v>
      </c>
    </row>
    <row r="4" spans="1:18" ht="14.25">
      <c r="A4" s="90" t="s">
        <v>57</v>
      </c>
      <c r="B4" s="75" t="s">
        <v>91</v>
      </c>
      <c r="C4" s="76" t="s">
        <v>18</v>
      </c>
      <c r="D4" s="110" t="s">
        <v>52</v>
      </c>
      <c r="E4" s="110" t="s">
        <v>52</v>
      </c>
      <c r="F4" s="125"/>
      <c r="G4" s="80"/>
      <c r="H4" s="8"/>
      <c r="I4" s="8"/>
      <c r="J4" s="8"/>
      <c r="K4" s="8"/>
      <c r="L4" s="8"/>
      <c r="M4" s="11"/>
      <c r="N4" s="8"/>
      <c r="O4" s="8"/>
      <c r="P4" s="8"/>
      <c r="Q4" s="49"/>
      <c r="R4" s="60">
        <f t="shared" si="0"/>
        <v>0</v>
      </c>
    </row>
    <row r="5" spans="1:18" ht="14.25">
      <c r="A5" s="90"/>
      <c r="B5" s="75"/>
      <c r="C5" s="76"/>
      <c r="D5" s="14"/>
      <c r="E5" s="14"/>
      <c r="F5" s="3"/>
      <c r="G5" s="2"/>
      <c r="H5" s="2"/>
      <c r="I5" s="2"/>
      <c r="J5" s="2"/>
      <c r="K5" s="2"/>
      <c r="L5" s="2"/>
      <c r="M5" s="2"/>
      <c r="N5" s="8"/>
      <c r="O5" s="8"/>
      <c r="P5" s="2"/>
      <c r="Q5" s="50"/>
      <c r="R5" s="60">
        <f t="shared" si="0"/>
        <v>0</v>
      </c>
    </row>
    <row r="6" spans="1:18" ht="14.25">
      <c r="A6" s="90"/>
      <c r="B6" s="75"/>
      <c r="C6" s="76"/>
      <c r="D6" s="32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50"/>
      <c r="R6" s="60">
        <f t="shared" si="0"/>
        <v>0</v>
      </c>
    </row>
    <row r="7" spans="1:18" ht="14.25">
      <c r="A7" s="90"/>
      <c r="B7" s="75"/>
      <c r="C7" s="76"/>
      <c r="D7" s="32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0"/>
      <c r="R7" s="60">
        <f t="shared" si="0"/>
        <v>0</v>
      </c>
    </row>
    <row r="8" spans="1:18" ht="14.25">
      <c r="A8" s="90"/>
      <c r="B8" s="75"/>
      <c r="C8" s="76"/>
      <c r="D8" s="32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0"/>
      <c r="R8" s="60">
        <f t="shared" si="0"/>
        <v>0</v>
      </c>
    </row>
    <row r="9" spans="1:18" ht="14.25">
      <c r="A9" s="90"/>
      <c r="B9" s="75"/>
      <c r="C9" s="76"/>
      <c r="D9" s="32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0"/>
      <c r="R9" s="60">
        <f t="shared" si="0"/>
        <v>0</v>
      </c>
    </row>
    <row r="10" spans="1:18" ht="14.25">
      <c r="A10" s="90"/>
      <c r="B10" s="75"/>
      <c r="C10" s="76"/>
      <c r="D10" s="32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49"/>
      <c r="R10" s="60">
        <f t="shared" si="0"/>
        <v>0</v>
      </c>
    </row>
    <row r="11" spans="1:18" ht="15" thickBot="1">
      <c r="A11" s="91"/>
      <c r="B11" s="77"/>
      <c r="C11" s="78"/>
      <c r="D11" s="63"/>
      <c r="E11" s="37"/>
      <c r="F11" s="52"/>
      <c r="G11" s="37"/>
      <c r="H11" s="37"/>
      <c r="I11" s="37"/>
      <c r="J11" s="37"/>
      <c r="K11" s="37"/>
      <c r="L11" s="37"/>
      <c r="M11" s="39"/>
      <c r="N11" s="37"/>
      <c r="O11" s="37"/>
      <c r="P11" s="37"/>
      <c r="Q11" s="92"/>
      <c r="R11" s="61">
        <f t="shared" si="0"/>
        <v>0</v>
      </c>
    </row>
    <row r="12" spans="1:18" ht="14.25">
      <c r="A12" s="15"/>
      <c r="B12" s="15"/>
      <c r="C12" s="15"/>
      <c r="D12" s="15"/>
      <c r="E12" s="15"/>
      <c r="F12" s="20"/>
      <c r="G12" s="15"/>
      <c r="H12" s="15"/>
      <c r="I12" s="15"/>
      <c r="J12" s="15"/>
      <c r="K12" s="15"/>
      <c r="L12" s="15"/>
      <c r="M12" s="98"/>
      <c r="N12" s="15"/>
      <c r="O12" s="15"/>
      <c r="P12" s="15"/>
      <c r="Q12" s="15"/>
      <c r="R12" s="19"/>
    </row>
    <row r="13" spans="1:18" ht="14.25">
      <c r="A13" s="15"/>
      <c r="B13" s="15"/>
      <c r="C13" s="15"/>
      <c r="D13" s="15"/>
      <c r="E13" s="15"/>
      <c r="F13" s="20"/>
      <c r="G13" s="15"/>
      <c r="H13" s="15"/>
      <c r="I13" s="15"/>
      <c r="J13" s="15"/>
      <c r="K13" s="15"/>
      <c r="L13" s="15"/>
      <c r="M13" s="15"/>
      <c r="N13" s="16"/>
      <c r="O13" s="16"/>
      <c r="P13" s="15"/>
      <c r="Q13" s="15"/>
      <c r="R13" s="19"/>
    </row>
    <row r="14" spans="1:18" ht="14.25">
      <c r="A14" s="15"/>
      <c r="B14" s="15"/>
      <c r="C14" s="15"/>
      <c r="D14" s="15"/>
      <c r="E14" s="15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="29" customFormat="1" ht="14.25">
      <c r="A15" s="29" t="s">
        <v>68</v>
      </c>
    </row>
    <row r="16" s="30" customFormat="1" ht="14.25">
      <c r="A16" s="30" t="s">
        <v>43</v>
      </c>
    </row>
    <row r="17" s="29" customFormat="1" ht="14.25">
      <c r="A17" s="29" t="s">
        <v>53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2014-06-02T15:29:01Z</dcterms:modified>
  <cp:category/>
  <cp:version/>
  <cp:contentType/>
  <cp:contentStatus/>
</cp:coreProperties>
</file>