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4" windowWidth="15480" windowHeight="8197" tabRatio="807" activeTab="0"/>
  </bookViews>
  <sheets>
    <sheet name="Férfi elit" sheetId="1" r:id="rId1"/>
    <sheet name="Női elit" sheetId="2" r:id="rId2"/>
    <sheet name="W14" sheetId="3" r:id="rId3"/>
    <sheet name="M14" sheetId="4" r:id="rId4"/>
    <sheet name="W15-17" sheetId="5" r:id="rId5"/>
    <sheet name="M15-17" sheetId="6" r:id="rId6"/>
    <sheet name="W18-20" sheetId="7" r:id="rId7"/>
    <sheet name="M18-20" sheetId="8" r:id="rId8"/>
    <sheet name="M40" sheetId="9" r:id="rId9"/>
    <sheet name="M50" sheetId="10" r:id="rId10"/>
    <sheet name="W40" sheetId="11" r:id="rId11"/>
  </sheets>
  <definedNames>
    <definedName name="_xlnm._FilterDatabase" localSheetId="0" hidden="1">'Férfi elit'!$B$2:$U$2</definedName>
    <definedName name="_xlnm._FilterDatabase" localSheetId="3" hidden="1">'M14'!$B$2:$R$2</definedName>
    <definedName name="_xlnm._FilterDatabase" localSheetId="5" hidden="1">'M15-17'!$B$2:$R$2</definedName>
    <definedName name="_xlnm._FilterDatabase" localSheetId="7" hidden="1">'M18-20'!$B$2:$R$2</definedName>
    <definedName name="_xlnm._FilterDatabase" localSheetId="8" hidden="1">'M40'!$B$2:$R$2</definedName>
    <definedName name="_xlnm._FilterDatabase" localSheetId="9" hidden="1">'M50'!$B$2:$R$2</definedName>
    <definedName name="_xlnm._FilterDatabase" localSheetId="1" hidden="1">'Női elit'!$B$2:$R$2</definedName>
    <definedName name="_xlnm._FilterDatabase" localSheetId="10" hidden="1">'W40'!$B$2:$R$2</definedName>
  </definedNames>
  <calcPr fullCalcOnLoad="1"/>
</workbook>
</file>

<file path=xl/sharedStrings.xml><?xml version="1.0" encoding="utf-8"?>
<sst xmlns="http://schemas.openxmlformats.org/spreadsheetml/2006/main" count="819" uniqueCount="247">
  <si>
    <t>klub</t>
  </si>
  <si>
    <t>Össz pont</t>
  </si>
  <si>
    <t>Marosffy Dániel</t>
  </si>
  <si>
    <t>OSC</t>
  </si>
  <si>
    <t>Rózsa László</t>
  </si>
  <si>
    <t>MEA</t>
  </si>
  <si>
    <t>SPA</t>
  </si>
  <si>
    <t>Bihari Zoltán</t>
  </si>
  <si>
    <t>Horváth Marcell</t>
  </si>
  <si>
    <t>Bedő Csaba</t>
  </si>
  <si>
    <t>DTC</t>
  </si>
  <si>
    <t>Vajda Zsolt</t>
  </si>
  <si>
    <t>THT</t>
  </si>
  <si>
    <t>Füzy Anna</t>
  </si>
  <si>
    <t>MSE</t>
  </si>
  <si>
    <t>Tamás Tibor</t>
  </si>
  <si>
    <t>Jankó Tamás</t>
  </si>
  <si>
    <t>HSE</t>
  </si>
  <si>
    <t>Pálfi Antal</t>
  </si>
  <si>
    <t>Nagy Benő</t>
  </si>
  <si>
    <t>Németh Bence</t>
  </si>
  <si>
    <t>Bunyik László</t>
  </si>
  <si>
    <t>KFK</t>
  </si>
  <si>
    <t>MAF</t>
  </si>
  <si>
    <t>Mets Miklós</t>
  </si>
  <si>
    <t>PSE</t>
  </si>
  <si>
    <t>Kiss Zoltán</t>
  </si>
  <si>
    <t>RTF</t>
  </si>
  <si>
    <t>Kirilla Péter</t>
  </si>
  <si>
    <t>Józsa Balázs Gábor dr</t>
  </si>
  <si>
    <t>Szabó Tamás</t>
  </si>
  <si>
    <t>VHS</t>
  </si>
  <si>
    <t>Skerletz Imola</t>
  </si>
  <si>
    <t>Horváth Pál</t>
  </si>
  <si>
    <t>Holluby András</t>
  </si>
  <si>
    <t>BSC/VKE-Nelson</t>
  </si>
  <si>
    <t>VHS/VKE-Nelson</t>
  </si>
  <si>
    <t>Nagy András</t>
  </si>
  <si>
    <t>SMA</t>
  </si>
  <si>
    <t>Mesics Péter</t>
  </si>
  <si>
    <t>Magyar Kupa 2013</t>
  </si>
  <si>
    <t>Jordán Soma</t>
  </si>
  <si>
    <t>DTC/Freeriderz SC</t>
  </si>
  <si>
    <t>Németh Zsolt</t>
  </si>
  <si>
    <t>Németh Zsoltné</t>
  </si>
  <si>
    <t>Szlovák Középtávú Bajnokság Kassa 05.11</t>
  </si>
  <si>
    <t>Szlovák Hosszútávú Bajnokság Kassa 05.12</t>
  </si>
  <si>
    <t>Dunakanyar Sprint Zebegény 06.01</t>
  </si>
  <si>
    <t>Pontbegyűjtő OB Zebegény 06.02</t>
  </si>
  <si>
    <t>Sümegi János</t>
  </si>
  <si>
    <t>Vajda Péter</t>
  </si>
  <si>
    <t>REHAB</t>
  </si>
  <si>
    <t>Csordás Kornél*</t>
  </si>
  <si>
    <t>Lancsár Roland*</t>
  </si>
  <si>
    <t>Blum László ifj.</t>
  </si>
  <si>
    <t>SZU</t>
  </si>
  <si>
    <t>Magyar Milán</t>
  </si>
  <si>
    <t>Burian Lóránt</t>
  </si>
  <si>
    <t>MOM</t>
  </si>
  <si>
    <t>Máté Endre*</t>
  </si>
  <si>
    <t>-</t>
  </si>
  <si>
    <t>EK</t>
  </si>
  <si>
    <t>Osztrák Sprint Bajnokság Großmittel 04.27</t>
  </si>
  <si>
    <t>Osztrák Kupa 2. hosszútáv Bécsújhely 04.28</t>
  </si>
  <si>
    <t>Magyar-Osztrák-Szlovák Kupa középtáv Káld 06.29</t>
  </si>
  <si>
    <t>Magyar-Osztrák-Szlovák Kupa hosszútáv Káld 06.30</t>
  </si>
  <si>
    <t>Magyar Sprint Bajnokság Érd 07.20</t>
  </si>
  <si>
    <t>Magyar Hosszútávú Bajnokság Érd 07.21</t>
  </si>
  <si>
    <t>Maccabi Kupa Középtáv Ásotthalom 09.14</t>
  </si>
  <si>
    <t>Magyar Középtávú Bajnokság Ásotthalom 09.15</t>
  </si>
  <si>
    <t xml:space="preserve">Kinde Kálmán </t>
  </si>
  <si>
    <t xml:space="preserve">Holluby András </t>
  </si>
  <si>
    <t>SIR/VKE NELSON</t>
  </si>
  <si>
    <t>Horváth Gergő*</t>
  </si>
  <si>
    <t>Hungária Kupa középtáv 08.17</t>
  </si>
  <si>
    <t>Hungária Kupa középtáv 08.19</t>
  </si>
  <si>
    <t>Beöthy Ádám</t>
  </si>
  <si>
    <t>Fenyvesi Laura</t>
  </si>
  <si>
    <t>SAS</t>
  </si>
  <si>
    <t>Dosek Ágoston</t>
  </si>
  <si>
    <t>Plájer Lajos</t>
  </si>
  <si>
    <t>HomoBringus</t>
  </si>
  <si>
    <t>Kelemen János*</t>
  </si>
  <si>
    <t>Allwinger Herwig</t>
  </si>
  <si>
    <t>TTE</t>
  </si>
  <si>
    <t>Viraszkó Zoltán</t>
  </si>
  <si>
    <t>Hidas Zoltán</t>
  </si>
  <si>
    <t>Kárpáti Gábor*</t>
  </si>
  <si>
    <t>Villányi Olivér*</t>
  </si>
  <si>
    <t>Kauffmann Brigitta Dóra</t>
  </si>
  <si>
    <t>MMT</t>
  </si>
  <si>
    <t>Kinde Vanda</t>
  </si>
  <si>
    <t>Benke Noémi</t>
  </si>
  <si>
    <t>Vajda Kovács Ágnes</t>
  </si>
  <si>
    <t>Weiler Vince</t>
  </si>
  <si>
    <t>Tamás Bianka</t>
  </si>
  <si>
    <t>Szabó Dorina</t>
  </si>
  <si>
    <t>Szabó Levente</t>
  </si>
  <si>
    <t>SZV</t>
  </si>
  <si>
    <t>Weiler Vilmos</t>
  </si>
  <si>
    <t xml:space="preserve">Kovács Zoltán </t>
  </si>
  <si>
    <t>Dankó István</t>
  </si>
  <si>
    <t>Dalos Attila</t>
  </si>
  <si>
    <t>Molnár Attila</t>
  </si>
  <si>
    <t>Papp Sándor</t>
  </si>
  <si>
    <t>BEA</t>
  </si>
  <si>
    <t>Weiler Zsolt</t>
  </si>
  <si>
    <t>Hegedűs Béla</t>
  </si>
  <si>
    <t>Kármán Katalin</t>
  </si>
  <si>
    <t>Karagics Judit</t>
  </si>
  <si>
    <t>Egei Petra</t>
  </si>
  <si>
    <t>Horváth Adrienn*</t>
  </si>
  <si>
    <t>Kézsmárki Ágnes*</t>
  </si>
  <si>
    <t>Gyallai Máté</t>
  </si>
  <si>
    <t>GYO</t>
  </si>
  <si>
    <t>Egei Balázs</t>
  </si>
  <si>
    <t>Balogh Zsombor</t>
  </si>
  <si>
    <t>Dalos Máté</t>
  </si>
  <si>
    <t>Gyallai Soma</t>
  </si>
  <si>
    <t>Paulovits László*</t>
  </si>
  <si>
    <t>Mörk Péter</t>
  </si>
  <si>
    <t>MAT</t>
  </si>
  <si>
    <t>Gyallai János</t>
  </si>
  <si>
    <t>Czakó Gábor*</t>
  </si>
  <si>
    <t>Kieső pontok</t>
  </si>
  <si>
    <t>Nagy Sándor</t>
  </si>
  <si>
    <t>Honfi Gábor</t>
  </si>
  <si>
    <t>ETC</t>
  </si>
  <si>
    <t>Domán Gábor</t>
  </si>
  <si>
    <t>Kovács József</t>
  </si>
  <si>
    <t>Tönköly Erika*</t>
  </si>
  <si>
    <t>Tömördi Ágnes</t>
  </si>
  <si>
    <t>Cseresnyés Ágnes</t>
  </si>
  <si>
    <t>Ebinger Mónika</t>
  </si>
  <si>
    <t>Egei Tamás</t>
  </si>
  <si>
    <t>Bertóti Róbert*</t>
  </si>
  <si>
    <t>Kiss Vivien</t>
  </si>
  <si>
    <t>Egei Patrik</t>
  </si>
  <si>
    <t>Fekete Ágoston</t>
  </si>
  <si>
    <t>ZTC</t>
  </si>
  <si>
    <t>Tálas Sándor</t>
  </si>
  <si>
    <t>Fáy Dániel Zsombor*</t>
  </si>
  <si>
    <t>Dravetz Walter*</t>
  </si>
  <si>
    <t>Eberle Wolf</t>
  </si>
  <si>
    <t>Köllöd Róbert</t>
  </si>
  <si>
    <t>Marosffy Orsolya</t>
  </si>
  <si>
    <t>Pénzes Erzsébet</t>
  </si>
  <si>
    <t>Gárdonyi Csilla</t>
  </si>
  <si>
    <t>Gárdonyi Soma</t>
  </si>
  <si>
    <t>Tóth Zalán Zénó</t>
  </si>
  <si>
    <t>SDS</t>
  </si>
  <si>
    <t>Keleti Domonkos</t>
  </si>
  <si>
    <t>Tóth Zoltán</t>
  </si>
  <si>
    <t>Bakonyi Dávid</t>
  </si>
  <si>
    <t>CSP</t>
  </si>
  <si>
    <t>Vadász Levente</t>
  </si>
  <si>
    <t>Tóth Kristóf</t>
  </si>
  <si>
    <t>Marosffy Bálint</t>
  </si>
  <si>
    <t>Magyar Zsolt</t>
  </si>
  <si>
    <t>Nagy Attila</t>
  </si>
  <si>
    <t>Szűcs Péter</t>
  </si>
  <si>
    <t>Zabaglo Slawek</t>
  </si>
  <si>
    <t>Varga Norbert Tamás</t>
  </si>
  <si>
    <t>Esztergomi Patrik Dániel</t>
  </si>
  <si>
    <t>Pálfi Fanni</t>
  </si>
  <si>
    <t>Lehoczki Réka</t>
  </si>
  <si>
    <t>Kraszkó Anett Vivien</t>
  </si>
  <si>
    <t>Szuhaj Nikoletta</t>
  </si>
  <si>
    <t>Csicsej Tamara Mária</t>
  </si>
  <si>
    <t>Krizsán Diána</t>
  </si>
  <si>
    <t>Egri Gabriella</t>
  </si>
  <si>
    <t>Lólé Roberta</t>
  </si>
  <si>
    <t>Rigó Anna Rebeka</t>
  </si>
  <si>
    <t>Kővágó Dóra</t>
  </si>
  <si>
    <t>Kiss Andrea Fanni</t>
  </si>
  <si>
    <t>Rigó Eszter</t>
  </si>
  <si>
    <t>Zahorán Petra</t>
  </si>
  <si>
    <t>Kepenyes Kitti</t>
  </si>
  <si>
    <t>Bencsik Ágnes</t>
  </si>
  <si>
    <t>Nagy Panna Zsófia</t>
  </si>
  <si>
    <t>Börcsök Fruzsina</t>
  </si>
  <si>
    <t>Horváth Alexandra</t>
  </si>
  <si>
    <t>Tóth Dorina</t>
  </si>
  <si>
    <t>Varga Petra</t>
  </si>
  <si>
    <t>Kinde Dalma*</t>
  </si>
  <si>
    <t>Szűcs Emese</t>
  </si>
  <si>
    <t>Képíró Inez Eszter</t>
  </si>
  <si>
    <t>Morva Barbara</t>
  </si>
  <si>
    <t>Leftwich Shawna Mariah</t>
  </si>
  <si>
    <t>Nagy Csenge Olga</t>
  </si>
  <si>
    <t>Lehoczki Csilla</t>
  </si>
  <si>
    <t>Kisháziné Zombory Erika</t>
  </si>
  <si>
    <t>HOD</t>
  </si>
  <si>
    <t>Palotás Ákos Árpád</t>
  </si>
  <si>
    <t>Priskin Zoltán</t>
  </si>
  <si>
    <t>Gábriel Zoltán</t>
  </si>
  <si>
    <t>Kisházi Gábor ifj.</t>
  </si>
  <si>
    <t>Futó Vince</t>
  </si>
  <si>
    <t>Berki Gábor</t>
  </si>
  <si>
    <t>Lólé Tamás</t>
  </si>
  <si>
    <t>Börcsök Milán</t>
  </si>
  <si>
    <t>Szűcs Róbert Zoltán</t>
  </si>
  <si>
    <t>Tripe Lajos</t>
  </si>
  <si>
    <t>Zsiga Mátyás</t>
  </si>
  <si>
    <t>Petrovszki Endre</t>
  </si>
  <si>
    <t>Lipták Galó Norbert</t>
  </si>
  <si>
    <t>Jankó Ákos</t>
  </si>
  <si>
    <t>Kepenyes Roland</t>
  </si>
  <si>
    <t>Tipi László</t>
  </si>
  <si>
    <t>Szűcs Máté</t>
  </si>
  <si>
    <t>Kisházi Gábor</t>
  </si>
  <si>
    <t>Blum László id.</t>
  </si>
  <si>
    <t>* 2013. évre jelenleg nincs érvényes versenyengedélye</t>
  </si>
  <si>
    <t>"</t>
  </si>
  <si>
    <t>" részt vett a versenyen de vagy hibapontos, vagy már negatív pontszáma van, vagy nem volt elég induló a kategóriában</t>
  </si>
  <si>
    <t>hely</t>
  </si>
  <si>
    <t>név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</si>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</sst>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"/>
    <numFmt numFmtId="165" formatCode="0.0"/>
    <numFmt numFmtId="166" formatCode="0.000000"/>
    <numFmt numFmtId="167" formatCode="0.0000000"/>
    <numFmt numFmtId="168" formatCode="0.00000"/>
    <numFmt numFmtId="169" formatCode="0.0000"/>
  </numFmts>
  <fonts count="22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color indexed="8"/>
      <name val="Calibri"/>
      <family val="2"/>
    </font>
    <font>
      <strike/>
      <sz val="11"/>
      <color indexed="8"/>
      <name val="Calibri"/>
      <family val="2"/>
    </font>
    <font>
      <b/>
      <sz val="26"/>
      <color indexed="8"/>
      <name val="Calibri"/>
      <family val="2"/>
    </font>
    <font>
      <sz val="8"/>
      <name val="Tahoma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0" fillId="4" borderId="0" applyNumberFormat="0" applyBorder="0" applyAlignment="0" applyProtection="0"/>
    <xf numFmtId="0" fontId="11" fillId="22" borderId="8" applyNumberFormat="0" applyAlignment="0" applyProtection="0"/>
    <xf numFmtId="0" fontId="12" fillId="0" borderId="0" applyNumberFormat="0" applyFill="0" applyBorder="0" applyAlignment="0" applyProtection="0"/>
    <xf numFmtId="0" fontId="1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3" borderId="0" applyNumberFormat="0" applyBorder="0" applyAlignment="0" applyProtection="0"/>
    <xf numFmtId="0" fontId="15" fillId="23" borderId="0" applyNumberFormat="0" applyBorder="0" applyAlignment="0" applyProtection="0"/>
    <xf numFmtId="0" fontId="16" fillId="22" borderId="1" applyNumberFormat="0" applyAlignment="0" applyProtection="0"/>
    <xf numFmtId="9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18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 vertical="center"/>
    </xf>
    <xf numFmtId="0" fontId="18" fillId="0" borderId="0" xfId="0" applyFont="1" applyFill="1" applyAlignment="1">
      <alignment/>
    </xf>
    <xf numFmtId="2" fontId="18" fillId="0" borderId="10" xfId="0" applyNumberFormat="1" applyFont="1" applyFill="1" applyBorder="1" applyAlignment="1">
      <alignment/>
    </xf>
    <xf numFmtId="2" fontId="0" fillId="0" borderId="10" xfId="0" applyNumberFormat="1" applyFill="1" applyBorder="1" applyAlignment="1">
      <alignment/>
    </xf>
    <xf numFmtId="2" fontId="0" fillId="0" borderId="10" xfId="0" applyNumberFormat="1" applyFill="1" applyBorder="1" applyAlignment="1">
      <alignment horizontal="right"/>
    </xf>
    <xf numFmtId="2" fontId="18" fillId="0" borderId="10" xfId="0" applyNumberFormat="1" applyFont="1" applyFill="1" applyBorder="1" applyAlignment="1">
      <alignment horizontal="right"/>
    </xf>
    <xf numFmtId="0" fontId="0" fillId="0" borderId="10" xfId="0" applyFill="1" applyBorder="1" applyAlignment="1">
      <alignment horizontal="right"/>
    </xf>
    <xf numFmtId="2" fontId="0" fillId="24" borderId="10" xfId="0" applyNumberFormat="1" applyFill="1" applyBorder="1" applyAlignment="1">
      <alignment/>
    </xf>
    <xf numFmtId="0" fontId="13" fillId="0" borderId="10" xfId="0" applyFont="1" applyFill="1" applyBorder="1" applyAlignment="1">
      <alignment horizontal="right"/>
    </xf>
    <xf numFmtId="2" fontId="13" fillId="0" borderId="10" xfId="0" applyNumberFormat="1" applyFont="1" applyFill="1" applyBorder="1" applyAlignment="1">
      <alignment/>
    </xf>
    <xf numFmtId="0" fontId="0" fillId="0" borderId="11" xfId="0" applyFill="1" applyBorder="1" applyAlignment="1">
      <alignment/>
    </xf>
    <xf numFmtId="0" fontId="18" fillId="0" borderId="11" xfId="0" applyFont="1" applyFill="1" applyBorder="1" applyAlignment="1">
      <alignment/>
    </xf>
    <xf numFmtId="2" fontId="0" fillId="0" borderId="11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/>
    </xf>
    <xf numFmtId="2" fontId="18" fillId="0" borderId="0" xfId="0" applyNumberFormat="1" applyFont="1" applyFill="1" applyBorder="1" applyAlignment="1">
      <alignment/>
    </xf>
    <xf numFmtId="2" fontId="0" fillId="0" borderId="0" xfId="0" applyNumberFormat="1" applyFill="1" applyBorder="1" applyAlignment="1">
      <alignment horizontal="right"/>
    </xf>
    <xf numFmtId="2" fontId="13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2" fontId="18" fillId="0" borderId="0" xfId="0" applyNumberFormat="1" applyFont="1" applyFill="1" applyBorder="1" applyAlignment="1">
      <alignment horizontal="right"/>
    </xf>
    <xf numFmtId="2" fontId="0" fillId="0" borderId="13" xfId="0" applyNumberFormat="1" applyFill="1" applyBorder="1" applyAlignment="1">
      <alignment/>
    </xf>
    <xf numFmtId="2" fontId="18" fillId="0" borderId="13" xfId="0" applyNumberFormat="1" applyFont="1" applyFill="1" applyBorder="1" applyAlignment="1">
      <alignment horizontal="right"/>
    </xf>
    <xf numFmtId="2" fontId="13" fillId="0" borderId="13" xfId="0" applyNumberFormat="1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14" xfId="0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24" borderId="0" xfId="0" applyFont="1" applyFill="1" applyBorder="1" applyAlignment="1">
      <alignment/>
    </xf>
    <xf numFmtId="0" fontId="0" fillId="0" borderId="0" xfId="0" applyFill="1" applyBorder="1" applyAlignment="1">
      <alignment vertical="center" textRotation="180" wrapText="1"/>
    </xf>
    <xf numFmtId="0" fontId="0" fillId="0" borderId="15" xfId="0" applyFill="1" applyBorder="1" applyAlignment="1">
      <alignment/>
    </xf>
    <xf numFmtId="0" fontId="19" fillId="0" borderId="13" xfId="0" applyFont="1" applyFill="1" applyBorder="1" applyAlignment="1">
      <alignment vertical="center"/>
    </xf>
    <xf numFmtId="0" fontId="13" fillId="0" borderId="16" xfId="0" applyFont="1" applyFill="1" applyBorder="1" applyAlignment="1">
      <alignment/>
    </xf>
    <xf numFmtId="2" fontId="13" fillId="0" borderId="17" xfId="0" applyNumberFormat="1" applyFont="1" applyFill="1" applyBorder="1" applyAlignment="1">
      <alignment/>
    </xf>
    <xf numFmtId="0" fontId="13" fillId="0" borderId="18" xfId="0" applyFont="1" applyFill="1" applyBorder="1" applyAlignment="1">
      <alignment/>
    </xf>
    <xf numFmtId="0" fontId="0" fillId="0" borderId="19" xfId="0" applyFill="1" applyBorder="1" applyAlignment="1">
      <alignment/>
    </xf>
    <xf numFmtId="2" fontId="0" fillId="0" borderId="19" xfId="0" applyNumberFormat="1" applyFill="1" applyBorder="1" applyAlignment="1">
      <alignment/>
    </xf>
    <xf numFmtId="0" fontId="13" fillId="0" borderId="19" xfId="0" applyFont="1" applyFill="1" applyBorder="1" applyAlignment="1">
      <alignment horizontal="right"/>
    </xf>
    <xf numFmtId="2" fontId="13" fillId="0" borderId="20" xfId="0" applyNumberFormat="1" applyFont="1" applyFill="1" applyBorder="1" applyAlignment="1">
      <alignment/>
    </xf>
    <xf numFmtId="0" fontId="0" fillId="0" borderId="0" xfId="0" applyFill="1" applyBorder="1" applyAlignment="1">
      <alignment vertical="center"/>
    </xf>
    <xf numFmtId="2" fontId="18" fillId="0" borderId="19" xfId="0" applyNumberFormat="1" applyFont="1" applyFill="1" applyBorder="1" applyAlignment="1">
      <alignment/>
    </xf>
    <xf numFmtId="0" fontId="13" fillId="0" borderId="21" xfId="0" applyFont="1" applyFill="1" applyBorder="1" applyAlignment="1">
      <alignment/>
    </xf>
    <xf numFmtId="2" fontId="18" fillId="0" borderId="11" xfId="0" applyNumberFormat="1" applyFont="1" applyFill="1" applyBorder="1" applyAlignment="1">
      <alignment/>
    </xf>
    <xf numFmtId="2" fontId="0" fillId="24" borderId="11" xfId="0" applyNumberFormat="1" applyFill="1" applyBorder="1" applyAlignment="1">
      <alignment/>
    </xf>
    <xf numFmtId="2" fontId="13" fillId="0" borderId="22" xfId="0" applyNumberFormat="1" applyFont="1" applyFill="1" applyBorder="1" applyAlignment="1">
      <alignment/>
    </xf>
    <xf numFmtId="0" fontId="17" fillId="0" borderId="23" xfId="0" applyFont="1" applyFill="1" applyBorder="1" applyAlignment="1">
      <alignment vertical="center" wrapText="1"/>
    </xf>
    <xf numFmtId="0" fontId="17" fillId="0" borderId="24" xfId="0" applyFont="1" applyFill="1" applyBorder="1" applyAlignment="1">
      <alignment vertical="center" wrapText="1"/>
    </xf>
    <xf numFmtId="0" fontId="17" fillId="0" borderId="24" xfId="0" applyFont="1" applyFill="1" applyBorder="1" applyAlignment="1">
      <alignment horizontal="center" vertical="center" textRotation="180" wrapText="1"/>
    </xf>
    <xf numFmtId="0" fontId="17" fillId="0" borderId="25" xfId="0" applyFont="1" applyFill="1" applyBorder="1" applyAlignment="1">
      <alignment horizontal="center" vertical="center" wrapText="1"/>
    </xf>
    <xf numFmtId="2" fontId="0" fillId="0" borderId="11" xfId="0" applyNumberFormat="1" applyFont="1" applyFill="1" applyBorder="1" applyAlignment="1">
      <alignment/>
    </xf>
    <xf numFmtId="0" fontId="13" fillId="0" borderId="11" xfId="0" applyFont="1" applyFill="1" applyBorder="1" applyAlignment="1">
      <alignment horizontal="right"/>
    </xf>
    <xf numFmtId="2" fontId="0" fillId="0" borderId="26" xfId="0" applyNumberFormat="1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18" fillId="0" borderId="19" xfId="0" applyFont="1" applyFill="1" applyBorder="1" applyAlignment="1">
      <alignment/>
    </xf>
    <xf numFmtId="0" fontId="0" fillId="0" borderId="19" xfId="0" applyFill="1" applyBorder="1" applyAlignment="1">
      <alignment horizontal="right"/>
    </xf>
    <xf numFmtId="0" fontId="17" fillId="0" borderId="28" xfId="0" applyFont="1" applyFill="1" applyBorder="1" applyAlignment="1">
      <alignment horizontal="center" vertical="center" textRotation="180" wrapText="1"/>
    </xf>
    <xf numFmtId="2" fontId="0" fillId="0" borderId="14" xfId="0" applyNumberFormat="1" applyFill="1" applyBorder="1" applyAlignment="1">
      <alignment/>
    </xf>
    <xf numFmtId="0" fontId="13" fillId="0" borderId="26" xfId="0" applyFont="1" applyFill="1" applyBorder="1" applyAlignment="1">
      <alignment horizontal="right"/>
    </xf>
    <xf numFmtId="0" fontId="13" fillId="0" borderId="29" xfId="0" applyFont="1" applyFill="1" applyBorder="1" applyAlignment="1">
      <alignment horizontal="right"/>
    </xf>
    <xf numFmtId="0" fontId="17" fillId="0" borderId="30" xfId="0" applyFont="1" applyFill="1" applyBorder="1" applyAlignment="1">
      <alignment horizontal="center" vertical="center" wrapText="1"/>
    </xf>
    <xf numFmtId="2" fontId="13" fillId="0" borderId="31" xfId="0" applyNumberFormat="1" applyFont="1" applyFill="1" applyBorder="1" applyAlignment="1">
      <alignment/>
    </xf>
    <xf numFmtId="2" fontId="13" fillId="0" borderId="32" xfId="0" applyNumberFormat="1" applyFont="1" applyFill="1" applyBorder="1" applyAlignment="1">
      <alignment/>
    </xf>
    <xf numFmtId="2" fontId="13" fillId="0" borderId="33" xfId="0" applyNumberFormat="1" applyFont="1" applyFill="1" applyBorder="1" applyAlignment="1">
      <alignment/>
    </xf>
    <xf numFmtId="0" fontId="0" fillId="0" borderId="34" xfId="0" applyFill="1" applyBorder="1" applyAlignment="1">
      <alignment/>
    </xf>
    <xf numFmtId="0" fontId="0" fillId="0" borderId="35" xfId="0" applyFill="1" applyBorder="1" applyAlignment="1">
      <alignment/>
    </xf>
    <xf numFmtId="0" fontId="17" fillId="0" borderId="30" xfId="0" applyFont="1" applyFill="1" applyBorder="1" applyAlignment="1">
      <alignment vertical="center" wrapText="1"/>
    </xf>
    <xf numFmtId="0" fontId="13" fillId="0" borderId="31" xfId="0" applyFont="1" applyFill="1" applyBorder="1" applyAlignment="1">
      <alignment/>
    </xf>
    <xf numFmtId="0" fontId="13" fillId="0" borderId="32" xfId="0" applyFont="1" applyFill="1" applyBorder="1" applyAlignment="1">
      <alignment/>
    </xf>
    <xf numFmtId="0" fontId="13" fillId="0" borderId="33" xfId="0" applyFont="1" applyFill="1" applyBorder="1" applyAlignment="1">
      <alignment/>
    </xf>
    <xf numFmtId="0" fontId="17" fillId="0" borderId="36" xfId="0" applyFont="1" applyFill="1" applyBorder="1" applyAlignment="1">
      <alignment horizontal="center" vertical="center" textRotation="180" wrapText="1"/>
    </xf>
    <xf numFmtId="0" fontId="18" fillId="0" borderId="34" xfId="0" applyFont="1" applyFill="1" applyBorder="1" applyAlignment="1">
      <alignment/>
    </xf>
    <xf numFmtId="0" fontId="18" fillId="0" borderId="15" xfId="0" applyFont="1" applyFill="1" applyBorder="1" applyAlignment="1">
      <alignment/>
    </xf>
    <xf numFmtId="0" fontId="18" fillId="0" borderId="35" xfId="0" applyFont="1" applyFill="1" applyBorder="1" applyAlignment="1">
      <alignment/>
    </xf>
    <xf numFmtId="0" fontId="17" fillId="0" borderId="25" xfId="0" applyFont="1" applyFill="1" applyBorder="1" applyAlignment="1">
      <alignment vertical="center" wrapText="1"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20" xfId="0" applyFill="1" applyBorder="1" applyAlignment="1">
      <alignment/>
    </xf>
    <xf numFmtId="2" fontId="0" fillId="24" borderId="14" xfId="0" applyNumberFormat="1" applyFill="1" applyBorder="1" applyAlignment="1">
      <alignment/>
    </xf>
    <xf numFmtId="2" fontId="0" fillId="0" borderId="29" xfId="0" applyNumberFormat="1" applyFill="1" applyBorder="1" applyAlignment="1">
      <alignment/>
    </xf>
    <xf numFmtId="2" fontId="0" fillId="0" borderId="34" xfId="0" applyNumberFormat="1" applyFill="1" applyBorder="1" applyAlignment="1">
      <alignment/>
    </xf>
    <xf numFmtId="2" fontId="0" fillId="0" borderId="15" xfId="0" applyNumberFormat="1" applyFill="1" applyBorder="1" applyAlignment="1">
      <alignment/>
    </xf>
    <xf numFmtId="0" fontId="13" fillId="0" borderId="15" xfId="0" applyFont="1" applyFill="1" applyBorder="1" applyAlignment="1">
      <alignment horizontal="right"/>
    </xf>
    <xf numFmtId="2" fontId="18" fillId="0" borderId="15" xfId="0" applyNumberFormat="1" applyFont="1" applyFill="1" applyBorder="1" applyAlignment="1">
      <alignment/>
    </xf>
    <xf numFmtId="2" fontId="0" fillId="0" borderId="35" xfId="0" applyNumberFormat="1" applyFill="1" applyBorder="1" applyAlignment="1">
      <alignment/>
    </xf>
    <xf numFmtId="0" fontId="19" fillId="0" borderId="0" xfId="0" applyFont="1" applyFill="1" applyBorder="1" applyAlignment="1">
      <alignment vertical="center"/>
    </xf>
    <xf numFmtId="2" fontId="0" fillId="0" borderId="11" xfId="0" applyNumberFormat="1" applyFill="1" applyBorder="1" applyAlignment="1">
      <alignment horizontal="right"/>
    </xf>
    <xf numFmtId="2" fontId="0" fillId="0" borderId="19" xfId="0" applyNumberFormat="1" applyFill="1" applyBorder="1" applyAlignment="1">
      <alignment horizontal="right"/>
    </xf>
    <xf numFmtId="2" fontId="0" fillId="0" borderId="15" xfId="0" applyNumberFormat="1" applyFont="1" applyFill="1" applyBorder="1" applyAlignment="1">
      <alignment/>
    </xf>
    <xf numFmtId="0" fontId="17" fillId="0" borderId="37" xfId="0" applyFont="1" applyFill="1" applyBorder="1" applyAlignment="1">
      <alignment vertical="center" wrapText="1"/>
    </xf>
    <xf numFmtId="0" fontId="13" fillId="0" borderId="38" xfId="0" applyFont="1" applyFill="1" applyBorder="1" applyAlignment="1">
      <alignment/>
    </xf>
    <xf numFmtId="0" fontId="13" fillId="0" borderId="39" xfId="0" applyFont="1" applyFill="1" applyBorder="1" applyAlignment="1">
      <alignment/>
    </xf>
    <xf numFmtId="0" fontId="13" fillId="0" borderId="40" xfId="0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41" xfId="0" applyNumberFormat="1" applyFill="1" applyBorder="1" applyAlignment="1">
      <alignment/>
    </xf>
    <xf numFmtId="2" fontId="18" fillId="0" borderId="41" xfId="0" applyNumberFormat="1" applyFont="1" applyFill="1" applyBorder="1" applyAlignment="1">
      <alignment/>
    </xf>
    <xf numFmtId="0" fontId="13" fillId="0" borderId="42" xfId="0" applyFont="1" applyFill="1" applyBorder="1" applyAlignment="1">
      <alignment/>
    </xf>
    <xf numFmtId="2" fontId="0" fillId="0" borderId="43" xfId="0" applyNumberFormat="1" applyFill="1" applyBorder="1" applyAlignment="1">
      <alignment/>
    </xf>
    <xf numFmtId="0" fontId="0" fillId="0" borderId="44" xfId="0" applyFill="1" applyBorder="1" applyAlignment="1">
      <alignment/>
    </xf>
    <xf numFmtId="0" fontId="0" fillId="0" borderId="45" xfId="0" applyFill="1" applyBorder="1" applyAlignment="1">
      <alignment/>
    </xf>
    <xf numFmtId="2" fontId="0" fillId="0" borderId="46" xfId="0" applyNumberFormat="1" applyFill="1" applyBorder="1" applyAlignment="1">
      <alignment/>
    </xf>
    <xf numFmtId="2" fontId="13" fillId="0" borderId="47" xfId="0" applyNumberFormat="1" applyFont="1" applyFill="1" applyBorder="1" applyAlignment="1">
      <alignment/>
    </xf>
    <xf numFmtId="0" fontId="17" fillId="0" borderId="48" xfId="0" applyFont="1" applyFill="1" applyBorder="1" applyAlignment="1">
      <alignment vertical="center" wrapText="1"/>
    </xf>
    <xf numFmtId="0" fontId="13" fillId="0" borderId="49" xfId="0" applyFont="1" applyFill="1" applyBorder="1" applyAlignment="1">
      <alignment/>
    </xf>
    <xf numFmtId="2" fontId="0" fillId="24" borderId="34" xfId="0" applyNumberFormat="1" applyFill="1" applyBorder="1" applyAlignment="1">
      <alignment/>
    </xf>
    <xf numFmtId="2" fontId="0" fillId="24" borderId="15" xfId="0" applyNumberFormat="1" applyFill="1" applyBorder="1" applyAlignment="1">
      <alignment/>
    </xf>
    <xf numFmtId="0" fontId="13" fillId="0" borderId="0" xfId="0" applyFont="1" applyFill="1" applyBorder="1" applyAlignment="1">
      <alignment horizontal="right"/>
    </xf>
    <xf numFmtId="0" fontId="19" fillId="0" borderId="37" xfId="0" applyFont="1" applyFill="1" applyBorder="1" applyAlignment="1">
      <alignment horizontal="center" vertical="center"/>
    </xf>
    <xf numFmtId="0" fontId="19" fillId="0" borderId="50" xfId="0" applyFont="1" applyFill="1" applyBorder="1" applyAlignment="1">
      <alignment horizontal="center" vertical="center"/>
    </xf>
    <xf numFmtId="0" fontId="19" fillId="0" borderId="51" xfId="0" applyFont="1" applyFill="1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6"/>
  <sheetViews>
    <sheetView tabSelected="1" zoomScalePageLayoutView="0" workbookViewId="0" topLeftCell="A1">
      <selection activeCell="I11" sqref="I11"/>
    </sheetView>
  </sheetViews>
  <sheetFormatPr defaultColWidth="9.140625" defaultRowHeight="15"/>
  <cols>
    <col min="1" max="1" width="5.28125" style="1" customWidth="1"/>
    <col min="2" max="2" width="21.57421875" style="1" customWidth="1"/>
    <col min="3" max="3" width="15.8515625" style="1" customWidth="1"/>
    <col min="4" max="5" width="9.140625" style="1" customWidth="1"/>
    <col min="6" max="6" width="9.140625" style="6" customWidth="1"/>
    <col min="7" max="18" width="9.140625" style="1" customWidth="1"/>
    <col min="19" max="33" width="9.00390625" style="18" customWidth="1"/>
    <col min="34" max="16384" width="9.00390625" style="1" customWidth="1"/>
  </cols>
  <sheetData>
    <row r="1" spans="1:20" ht="30.75" customHeight="1" thickBot="1">
      <c r="A1" s="116" t="s">
        <v>40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8"/>
      <c r="S1" s="36"/>
      <c r="T1" s="36"/>
    </row>
    <row r="2" spans="1:33" s="5" customFormat="1" ht="120.75" customHeight="1" thickBot="1">
      <c r="A2" s="71" t="s">
        <v>215</v>
      </c>
      <c r="B2" s="50" t="s">
        <v>216</v>
      </c>
      <c r="C2" s="79" t="s">
        <v>0</v>
      </c>
      <c r="D2" s="75" t="s">
        <v>62</v>
      </c>
      <c r="E2" s="52" t="s">
        <v>63</v>
      </c>
      <c r="F2" s="52" t="s">
        <v>45</v>
      </c>
      <c r="G2" s="52" t="s">
        <v>46</v>
      </c>
      <c r="H2" s="52" t="s">
        <v>47</v>
      </c>
      <c r="I2" s="52" t="s">
        <v>48</v>
      </c>
      <c r="J2" s="52" t="s">
        <v>64</v>
      </c>
      <c r="K2" s="52" t="s">
        <v>65</v>
      </c>
      <c r="L2" s="52" t="s">
        <v>66</v>
      </c>
      <c r="M2" s="52" t="s">
        <v>67</v>
      </c>
      <c r="N2" s="52" t="s">
        <v>74</v>
      </c>
      <c r="O2" s="52" t="s">
        <v>75</v>
      </c>
      <c r="P2" s="52" t="s">
        <v>68</v>
      </c>
      <c r="Q2" s="61" t="s">
        <v>69</v>
      </c>
      <c r="R2" s="65" t="s">
        <v>1</v>
      </c>
      <c r="S2" s="34"/>
      <c r="T2" s="3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</row>
    <row r="3" spans="1:33" s="2" customFormat="1" ht="14.25">
      <c r="A3" s="72" t="s">
        <v>217</v>
      </c>
      <c r="B3" s="80" t="s">
        <v>4</v>
      </c>
      <c r="C3" s="81" t="s">
        <v>14</v>
      </c>
      <c r="D3" s="88">
        <f>100-(34.25-34.25)/34.25*50</f>
        <v>100</v>
      </c>
      <c r="E3" s="47"/>
      <c r="F3" s="17">
        <f>100-(66.7-66.68)/66.68*50</f>
        <v>99.98500299940012</v>
      </c>
      <c r="G3" s="48">
        <f>100-(99.73-88.23)/88.23*50</f>
        <v>93.48294230987193</v>
      </c>
      <c r="H3" s="17"/>
      <c r="I3" s="48">
        <f>100-(80.92-71.6)/71.6*50</f>
        <v>93.49162011173183</v>
      </c>
      <c r="J3" s="17">
        <f>100-(29.92-29.92)/29.92*50</f>
        <v>100</v>
      </c>
      <c r="K3" s="48">
        <f>100-(71.08-68.28)/68.28*50</f>
        <v>97.94961921499707</v>
      </c>
      <c r="L3" s="17">
        <f>100-(29.45-29.45)/29.45*50</f>
        <v>100</v>
      </c>
      <c r="M3" s="48">
        <f>100-(117.93-112.68)/112.68*50</f>
        <v>97.67039403620873</v>
      </c>
      <c r="N3" s="17">
        <f>100-(58.35-58.35)/58.35*50</f>
        <v>100</v>
      </c>
      <c r="O3" s="17">
        <f>100-(65.13-65.13)/65.13*50</f>
        <v>100</v>
      </c>
      <c r="P3" s="17">
        <f>100-(50.93-50.32)/50.32*50</f>
        <v>99.39387917329094</v>
      </c>
      <c r="Q3" s="86">
        <f>100-(52.38-48.08)/48.08*50</f>
        <v>95.52828618968385</v>
      </c>
      <c r="R3" s="66">
        <f>SUM(D3:Q3)-G3-I3-M3-Q3-K3</f>
        <v>699.3788821726909</v>
      </c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</row>
    <row r="4" spans="1:33" s="2" customFormat="1" ht="14.25">
      <c r="A4" s="73" t="s">
        <v>218</v>
      </c>
      <c r="B4" s="82" t="s">
        <v>9</v>
      </c>
      <c r="C4" s="83" t="s">
        <v>35</v>
      </c>
      <c r="D4" s="89">
        <f>100-(34.65-34.25)/34.25*50</f>
        <v>99.41605839416059</v>
      </c>
      <c r="E4" s="8">
        <f>100-(104.28-102.5)/102.5*50</f>
        <v>99.13170731707316</v>
      </c>
      <c r="F4" s="7"/>
      <c r="G4" s="7"/>
      <c r="H4" s="8">
        <f>100-(38.27-38.27)/38.27*50</f>
        <v>100</v>
      </c>
      <c r="I4" s="8">
        <f>100-(71.6-71.6)/71.6*50</f>
        <v>100</v>
      </c>
      <c r="J4" s="12">
        <f>100-(31.35-29.92)/29.92*50</f>
        <v>97.61029411764706</v>
      </c>
      <c r="K4" s="8">
        <f>100-(68.28-68.28)/68.28*50</f>
        <v>100</v>
      </c>
      <c r="L4" s="12">
        <f>100-(31.98-29.45)/29.45*50</f>
        <v>95.70458404074702</v>
      </c>
      <c r="M4" s="8">
        <f>100-(112.68-112.68)/112.68*50</f>
        <v>100</v>
      </c>
      <c r="N4" s="7"/>
      <c r="O4" s="7"/>
      <c r="P4" s="12">
        <f>100-(51.37-50.32)/50.32*50</f>
        <v>98.9566772655008</v>
      </c>
      <c r="Q4" s="56">
        <f>100-(48.08-48.08)/48.08*50</f>
        <v>100</v>
      </c>
      <c r="R4" s="67">
        <f>SUM(D4:Q4)-L4-J4-P4</f>
        <v>698.5477657112338</v>
      </c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</row>
    <row r="5" spans="1:33" s="2" customFormat="1" ht="14.25">
      <c r="A5" s="73" t="s">
        <v>219</v>
      </c>
      <c r="B5" s="82" t="s">
        <v>11</v>
      </c>
      <c r="C5" s="83" t="s">
        <v>12</v>
      </c>
      <c r="D5" s="89">
        <f>100-(36.48-34.25)/34.25*50</f>
        <v>96.74452554744526</v>
      </c>
      <c r="E5" s="8">
        <f>100-(116.27-102.5)/102.5*50</f>
        <v>93.28292682926829</v>
      </c>
      <c r="F5" s="7"/>
      <c r="G5" s="8"/>
      <c r="H5" s="8">
        <f>100-(40.25-38.27)/38.27*50</f>
        <v>97.41311732427489</v>
      </c>
      <c r="I5" s="8">
        <f>100-(77.75-71.6)/71.6*50</f>
        <v>95.70530726256983</v>
      </c>
      <c r="J5" s="7"/>
      <c r="K5" s="8"/>
      <c r="L5" s="12">
        <f>100-(33.67-29.45)/29.45*50</f>
        <v>92.83531409168081</v>
      </c>
      <c r="M5" s="8">
        <f>100-(127.52-112.68)/112.68*50</f>
        <v>93.41498047568335</v>
      </c>
      <c r="N5" s="8"/>
      <c r="O5" s="8"/>
      <c r="P5" s="8">
        <f>100-(56.18-50.32)/50.32*50</f>
        <v>94.17726550079492</v>
      </c>
      <c r="Q5" s="56">
        <f>100-(52.58-48.08)/48.08*50</f>
        <v>95.32029950083195</v>
      </c>
      <c r="R5" s="67">
        <f>SUM(D5:Q5)-L5</f>
        <v>666.0584224408684</v>
      </c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</row>
    <row r="6" spans="1:33" s="2" customFormat="1" ht="14.25">
      <c r="A6" s="73" t="s">
        <v>220</v>
      </c>
      <c r="B6" s="82" t="s">
        <v>7</v>
      </c>
      <c r="C6" s="83" t="s">
        <v>22</v>
      </c>
      <c r="D6" s="90" t="s">
        <v>213</v>
      </c>
      <c r="E6" s="8">
        <f>100-(102.5-102.5)/102.5*50</f>
        <v>100</v>
      </c>
      <c r="F6" s="7"/>
      <c r="G6" s="8"/>
      <c r="H6" s="8"/>
      <c r="I6" s="8">
        <f>100-(86.05-71.6)/71.6*50</f>
        <v>89.90921787709497</v>
      </c>
      <c r="J6" s="8"/>
      <c r="K6" s="8"/>
      <c r="L6" s="8">
        <f>100-(31.77-29.45)/29.45*50</f>
        <v>96.06112054329371</v>
      </c>
      <c r="M6" s="8">
        <f>100-(126.98-112.68)/112.68*50</f>
        <v>93.65459708910188</v>
      </c>
      <c r="N6" s="8">
        <f>100-(65.88-58.35)/58.35*50</f>
        <v>93.54755784061697</v>
      </c>
      <c r="O6" s="8">
        <f>100-(74.37-65.13)/65.13*50</f>
        <v>92.90649470290188</v>
      </c>
      <c r="P6" s="8"/>
      <c r="Q6" s="56"/>
      <c r="R6" s="67">
        <f aca="true" t="shared" si="0" ref="R6:R24">SUM(D6:Q6)</f>
        <v>566.0789880530094</v>
      </c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</row>
    <row r="7" spans="1:33" s="2" customFormat="1" ht="14.25">
      <c r="A7" s="73" t="s">
        <v>221</v>
      </c>
      <c r="B7" s="82" t="s">
        <v>15</v>
      </c>
      <c r="C7" s="83" t="s">
        <v>42</v>
      </c>
      <c r="D7" s="89"/>
      <c r="E7" s="8"/>
      <c r="F7" s="7"/>
      <c r="G7" s="8"/>
      <c r="H7" s="8"/>
      <c r="I7" s="8">
        <f>100-(83.23-71.6)/71.6*50</f>
        <v>91.87849162011173</v>
      </c>
      <c r="J7" s="8"/>
      <c r="K7" s="8"/>
      <c r="L7" s="8">
        <f>100-(31.93-29.45)/29.45*50</f>
        <v>95.78947368421052</v>
      </c>
      <c r="M7" s="8">
        <f>100-(131.97-112.68)/112.68*50</f>
        <v>91.44036208732695</v>
      </c>
      <c r="N7" s="8"/>
      <c r="O7" s="8"/>
      <c r="P7" s="8">
        <f>100-(50.32-50.32)/50.32*50</f>
        <v>100</v>
      </c>
      <c r="Q7" s="56">
        <f>100-(53.02-48.08)/48.08*50</f>
        <v>94.86272878535773</v>
      </c>
      <c r="R7" s="67">
        <f t="shared" si="0"/>
        <v>473.9710561770069</v>
      </c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</row>
    <row r="8" spans="1:33" s="2" customFormat="1" ht="14.25">
      <c r="A8" s="73" t="s">
        <v>222</v>
      </c>
      <c r="B8" s="82" t="s">
        <v>19</v>
      </c>
      <c r="C8" s="83" t="s">
        <v>42</v>
      </c>
      <c r="D8" s="89"/>
      <c r="E8" s="8"/>
      <c r="F8" s="7"/>
      <c r="G8" s="8"/>
      <c r="H8" s="8">
        <f>100-(41.33-38.27)/38.27*50</f>
        <v>96.00209041024301</v>
      </c>
      <c r="I8" s="8">
        <f>100-(86.28-71.6)/71.6*50</f>
        <v>89.7486033519553</v>
      </c>
      <c r="J8" s="8"/>
      <c r="K8" s="8"/>
      <c r="L8" s="8">
        <f>100-(34.77-29.45)/29.45*50</f>
        <v>90.96774193548387</v>
      </c>
      <c r="M8" s="13" t="s">
        <v>213</v>
      </c>
      <c r="N8" s="8"/>
      <c r="O8" s="7"/>
      <c r="P8" s="8">
        <f>100-(58.68-50.32)/50.32*50</f>
        <v>91.69316375198729</v>
      </c>
      <c r="Q8" s="56">
        <f>100-(54.65-48.08)/48.08*50</f>
        <v>93.16763727121464</v>
      </c>
      <c r="R8" s="67">
        <f t="shared" si="0"/>
        <v>461.57923672088407</v>
      </c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</row>
    <row r="9" spans="1:33" s="2" customFormat="1" ht="14.25">
      <c r="A9" s="73" t="s">
        <v>223</v>
      </c>
      <c r="B9" s="82" t="s">
        <v>34</v>
      </c>
      <c r="C9" s="83" t="s">
        <v>25</v>
      </c>
      <c r="D9" s="89"/>
      <c r="E9" s="8"/>
      <c r="F9" s="7"/>
      <c r="G9" s="8"/>
      <c r="H9" s="8">
        <f>100-(43.62-38.27)/38.27*50</f>
        <v>93.01019074993468</v>
      </c>
      <c r="I9" s="8">
        <f>100-(73.62-71.6)/71.6*50</f>
        <v>98.58938547486032</v>
      </c>
      <c r="J9" s="8">
        <f>100-(47.23-29.92)/29.92*50</f>
        <v>71.07286096256685</v>
      </c>
      <c r="K9" s="8">
        <f>100-(78.62-68.28)/68.28*50</f>
        <v>92.42823667252489</v>
      </c>
      <c r="L9" s="8"/>
      <c r="M9" s="13" t="s">
        <v>213</v>
      </c>
      <c r="N9" s="8"/>
      <c r="O9" s="8"/>
      <c r="P9" s="8"/>
      <c r="Q9" s="56">
        <f>100-(61.7-48.08)/48.08*50</f>
        <v>85.83610648918469</v>
      </c>
      <c r="R9" s="67">
        <f t="shared" si="0"/>
        <v>440.93678034907134</v>
      </c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</row>
    <row r="10" spans="1:33" s="2" customFormat="1" ht="14.25">
      <c r="A10" s="73" t="s">
        <v>224</v>
      </c>
      <c r="B10" s="82" t="s">
        <v>29</v>
      </c>
      <c r="C10" s="83" t="s">
        <v>27</v>
      </c>
      <c r="D10" s="89"/>
      <c r="E10" s="8"/>
      <c r="F10" s="7"/>
      <c r="G10" s="8"/>
      <c r="H10" s="8">
        <f>100-(44.52-38.27)/38.27*50</f>
        <v>91.83433498824144</v>
      </c>
      <c r="I10" s="8">
        <f>100-(91.6-71.6)/71.6*50</f>
        <v>86.03351955307262</v>
      </c>
      <c r="J10" s="8">
        <f>100-(38.7-29.92)/29.92*50</f>
        <v>85.32754010695187</v>
      </c>
      <c r="K10" s="8">
        <f>100-(85.57-68.28)/68.28*50</f>
        <v>87.33889865260691</v>
      </c>
      <c r="L10" s="8"/>
      <c r="M10" s="8"/>
      <c r="N10" s="8">
        <f>100-(81.02-58.35)/58.35*50</f>
        <v>80.57412167952015</v>
      </c>
      <c r="O10" s="8"/>
      <c r="P10" s="8"/>
      <c r="Q10" s="56"/>
      <c r="R10" s="67">
        <f t="shared" si="0"/>
        <v>431.108414980393</v>
      </c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</row>
    <row r="11" spans="1:33" s="2" customFormat="1" ht="14.25">
      <c r="A11" s="73" t="s">
        <v>225</v>
      </c>
      <c r="B11" s="82" t="s">
        <v>20</v>
      </c>
      <c r="C11" s="83" t="s">
        <v>36</v>
      </c>
      <c r="D11" s="89">
        <f>100-(41.32-34.25)/34.25*50</f>
        <v>89.67883211678833</v>
      </c>
      <c r="E11" s="8">
        <f>100-(134.3-102.5)/102.5*50</f>
        <v>84.48780487804878</v>
      </c>
      <c r="F11" s="7"/>
      <c r="G11" s="8"/>
      <c r="H11" s="8">
        <f>100-(49.07-38.27)/38.27*50</f>
        <v>85.88973085968122</v>
      </c>
      <c r="I11" s="8">
        <f>100-(108.87-71.6)/71.6*50</f>
        <v>73.97346368715083</v>
      </c>
      <c r="J11" s="8"/>
      <c r="K11" s="8"/>
      <c r="L11" s="8">
        <f>100-(41.93-29.45)/29.45*50</f>
        <v>78.81154499151103</v>
      </c>
      <c r="M11" s="7"/>
      <c r="N11" s="8"/>
      <c r="O11" s="8"/>
      <c r="P11" s="8"/>
      <c r="Q11" s="56"/>
      <c r="R11" s="67">
        <f t="shared" si="0"/>
        <v>412.8413765331802</v>
      </c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</row>
    <row r="12" spans="1:33" s="2" customFormat="1" ht="14.25">
      <c r="A12" s="73" t="s">
        <v>226</v>
      </c>
      <c r="B12" s="82" t="s">
        <v>28</v>
      </c>
      <c r="C12" s="83" t="s">
        <v>10</v>
      </c>
      <c r="D12" s="91"/>
      <c r="E12" s="8"/>
      <c r="F12" s="7"/>
      <c r="G12" s="8"/>
      <c r="H12" s="8">
        <f>100-(41.33-38.27)/38.27*50</f>
        <v>96.00209041024301</v>
      </c>
      <c r="I12" s="8">
        <f>100-(91.6-71.6)/71.6*50</f>
        <v>86.03351955307262</v>
      </c>
      <c r="J12" s="7"/>
      <c r="K12" s="8"/>
      <c r="L12" s="8">
        <f>100-(33.33-29.45)/29.45*50</f>
        <v>93.4125636672326</v>
      </c>
      <c r="M12" s="8">
        <f>100-(144.37-112.68)/112.68*50</f>
        <v>85.93805466808662</v>
      </c>
      <c r="N12" s="7"/>
      <c r="O12" s="8"/>
      <c r="P12" s="7"/>
      <c r="Q12" s="56"/>
      <c r="R12" s="67">
        <f t="shared" si="0"/>
        <v>361.3862282986349</v>
      </c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</row>
    <row r="13" spans="1:33" s="2" customFormat="1" ht="14.25">
      <c r="A13" s="73" t="s">
        <v>227</v>
      </c>
      <c r="B13" s="82" t="s">
        <v>2</v>
      </c>
      <c r="C13" s="83" t="s">
        <v>3</v>
      </c>
      <c r="D13" s="35"/>
      <c r="F13" s="3"/>
      <c r="J13" s="8"/>
      <c r="L13" s="8">
        <f>100-(30-29.45)/29.45*50</f>
        <v>99.06621392190152</v>
      </c>
      <c r="M13" s="8">
        <f>100-(125.48-112.68)/112.68*50</f>
        <v>94.32019879304225</v>
      </c>
      <c r="Q13" s="56">
        <f>100-(50.23-48.08)/48.08*50</f>
        <v>97.76414309484193</v>
      </c>
      <c r="R13" s="67">
        <f t="shared" si="0"/>
        <v>291.1505558097857</v>
      </c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</row>
    <row r="14" spans="1:33" s="2" customFormat="1" ht="14.25">
      <c r="A14" s="73" t="s">
        <v>228</v>
      </c>
      <c r="B14" s="82" t="s">
        <v>13</v>
      </c>
      <c r="C14" s="83" t="s">
        <v>3</v>
      </c>
      <c r="D14" s="89"/>
      <c r="E14" s="8"/>
      <c r="F14" s="7"/>
      <c r="G14" s="8"/>
      <c r="H14" s="8">
        <f>100-(47.62-38.27)/38.27*50</f>
        <v>87.78416514240921</v>
      </c>
      <c r="I14" s="8">
        <f>100-(88.2-71.6)/71.6*50</f>
        <v>88.40782122905027</v>
      </c>
      <c r="J14" s="8"/>
      <c r="K14" s="8"/>
      <c r="L14" s="8"/>
      <c r="M14" s="8">
        <f>100-(159.88-112.68)/112.68*50</f>
        <v>79.05573304934327</v>
      </c>
      <c r="N14" s="8"/>
      <c r="O14" s="8"/>
      <c r="P14" s="8"/>
      <c r="Q14" s="56"/>
      <c r="R14" s="67">
        <f t="shared" si="0"/>
        <v>255.24771942080275</v>
      </c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</row>
    <row r="15" spans="1:33" s="2" customFormat="1" ht="14.25">
      <c r="A15" s="73" t="s">
        <v>229</v>
      </c>
      <c r="B15" s="82" t="s">
        <v>152</v>
      </c>
      <c r="C15" s="83" t="s">
        <v>78</v>
      </c>
      <c r="D15" s="89"/>
      <c r="E15" s="8"/>
      <c r="F15" s="7"/>
      <c r="G15" s="8"/>
      <c r="H15" s="9"/>
      <c r="I15" s="8"/>
      <c r="J15" s="8"/>
      <c r="K15" s="8"/>
      <c r="L15" s="8"/>
      <c r="M15" s="8"/>
      <c r="N15" s="8"/>
      <c r="O15" s="8"/>
      <c r="P15" s="8">
        <f>100-(53.75-50.32)/50.32*50</f>
        <v>96.59181240063593</v>
      </c>
      <c r="Q15" s="56">
        <f>100-(57-48.08)/48.08*50</f>
        <v>90.72379367720465</v>
      </c>
      <c r="R15" s="67">
        <f t="shared" si="0"/>
        <v>187.31560607784058</v>
      </c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</row>
    <row r="16" spans="1:33" s="2" customFormat="1" ht="14.25">
      <c r="A16" s="73" t="s">
        <v>230</v>
      </c>
      <c r="B16" s="82" t="s">
        <v>85</v>
      </c>
      <c r="C16" s="83" t="s">
        <v>10</v>
      </c>
      <c r="D16" s="35"/>
      <c r="F16" s="3"/>
      <c r="J16" s="8"/>
      <c r="L16" s="8">
        <f>100-(33.07-29.45)/29.45*50</f>
        <v>93.85398981324278</v>
      </c>
      <c r="M16" s="8">
        <f>100-(140.85-112.68)/112.68*50</f>
        <v>87.5</v>
      </c>
      <c r="Q16" s="57"/>
      <c r="R16" s="67">
        <f t="shared" si="0"/>
        <v>181.35398981324278</v>
      </c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</row>
    <row r="17" spans="1:33" s="2" customFormat="1" ht="14.25">
      <c r="A17" s="73" t="s">
        <v>231</v>
      </c>
      <c r="B17" s="82" t="s">
        <v>79</v>
      </c>
      <c r="C17" s="83" t="s">
        <v>3</v>
      </c>
      <c r="D17" s="35"/>
      <c r="F17" s="3"/>
      <c r="J17" s="8"/>
      <c r="L17" s="8"/>
      <c r="N17" s="8">
        <f>100-(65.77-58.35)/58.35*50</f>
        <v>93.64181662382177</v>
      </c>
      <c r="O17" s="8">
        <f>100-(90.85-65.13)/65.13*50</f>
        <v>80.2548748656533</v>
      </c>
      <c r="Q17" s="57"/>
      <c r="R17" s="67">
        <f t="shared" si="0"/>
        <v>173.89669148947507</v>
      </c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</row>
    <row r="18" spans="1:33" s="2" customFormat="1" ht="14.25">
      <c r="A18" s="73" t="s">
        <v>232</v>
      </c>
      <c r="B18" s="82" t="s">
        <v>50</v>
      </c>
      <c r="C18" s="83" t="s">
        <v>12</v>
      </c>
      <c r="D18" s="89"/>
      <c r="E18" s="8"/>
      <c r="F18" s="7"/>
      <c r="G18" s="8"/>
      <c r="H18" s="8">
        <f>100-(63.6-38.27)/38.27*50</f>
        <v>66.90619284034491</v>
      </c>
      <c r="I18" s="8"/>
      <c r="J18" s="8"/>
      <c r="K18" s="8"/>
      <c r="L18" s="8">
        <f>100-(45.93-29.45)/29.45*50</f>
        <v>72.02037351443124</v>
      </c>
      <c r="M18" s="8"/>
      <c r="N18" s="8"/>
      <c r="O18" s="8"/>
      <c r="P18" s="8"/>
      <c r="Q18" s="56"/>
      <c r="R18" s="67">
        <f t="shared" si="0"/>
        <v>138.92656635477616</v>
      </c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</row>
    <row r="19" spans="1:33" s="2" customFormat="1" ht="14.25">
      <c r="A19" s="73" t="s">
        <v>233</v>
      </c>
      <c r="B19" s="82" t="s">
        <v>76</v>
      </c>
      <c r="C19" s="83" t="s">
        <v>22</v>
      </c>
      <c r="D19" s="89"/>
      <c r="E19" s="8"/>
      <c r="F19" s="7"/>
      <c r="G19" s="8"/>
      <c r="H19" s="8"/>
      <c r="I19" s="8"/>
      <c r="J19" s="8">
        <f>100-(34.75-29.92)/29.92*50</f>
        <v>91.92847593582889</v>
      </c>
      <c r="K19" s="13" t="s">
        <v>213</v>
      </c>
      <c r="L19" s="8"/>
      <c r="M19" s="8"/>
      <c r="N19" s="8"/>
      <c r="O19" s="8"/>
      <c r="P19" s="8"/>
      <c r="Q19" s="56"/>
      <c r="R19" s="67">
        <f t="shared" si="0"/>
        <v>91.92847593582889</v>
      </c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</row>
    <row r="20" spans="1:33" s="2" customFormat="1" ht="14.25">
      <c r="A20" s="73" t="s">
        <v>234</v>
      </c>
      <c r="B20" s="82" t="s">
        <v>134</v>
      </c>
      <c r="C20" s="83" t="s">
        <v>6</v>
      </c>
      <c r="D20" s="35"/>
      <c r="F20" s="3"/>
      <c r="J20" s="8"/>
      <c r="L20" s="8"/>
      <c r="N20" s="8">
        <f>100-(69.46-58.35)/58.35*50</f>
        <v>90.47986289631535</v>
      </c>
      <c r="Q20" s="57"/>
      <c r="R20" s="67">
        <f t="shared" si="0"/>
        <v>90.47986289631535</v>
      </c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</row>
    <row r="21" spans="1:33" s="2" customFormat="1" ht="14.25">
      <c r="A21" s="73" t="s">
        <v>235</v>
      </c>
      <c r="B21" s="82" t="s">
        <v>158</v>
      </c>
      <c r="C21" s="83" t="s">
        <v>10</v>
      </c>
      <c r="D21" s="89"/>
      <c r="E21" s="8"/>
      <c r="F21" s="7"/>
      <c r="G21" s="8"/>
      <c r="H21" s="9"/>
      <c r="I21" s="8"/>
      <c r="J21" s="8"/>
      <c r="K21" s="8"/>
      <c r="L21" s="8"/>
      <c r="M21" s="8"/>
      <c r="N21" s="8"/>
      <c r="O21" s="8"/>
      <c r="P21" s="8"/>
      <c r="Q21" s="56">
        <f>100-(57.93-48.08)/48.08*50</f>
        <v>89.75665557404326</v>
      </c>
      <c r="R21" s="67">
        <f t="shared" si="0"/>
        <v>89.75665557404326</v>
      </c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</row>
    <row r="22" spans="1:33" s="2" customFormat="1" ht="14.25">
      <c r="A22" s="73" t="s">
        <v>236</v>
      </c>
      <c r="B22" s="82" t="s">
        <v>86</v>
      </c>
      <c r="C22" s="83" t="s">
        <v>78</v>
      </c>
      <c r="D22" s="35"/>
      <c r="F22" s="3"/>
      <c r="J22" s="8"/>
      <c r="L22" s="8">
        <f>100-(37.63-29.45)/29.45*50</f>
        <v>86.1120543293718</v>
      </c>
      <c r="Q22" s="57"/>
      <c r="R22" s="67">
        <f t="shared" si="0"/>
        <v>86.1120543293718</v>
      </c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</row>
    <row r="23" spans="1:33" s="2" customFormat="1" ht="14.25">
      <c r="A23" s="73" t="s">
        <v>237</v>
      </c>
      <c r="B23" s="82" t="s">
        <v>49</v>
      </c>
      <c r="C23" s="83" t="s">
        <v>10</v>
      </c>
      <c r="D23" s="89"/>
      <c r="E23" s="8"/>
      <c r="F23" s="7"/>
      <c r="G23" s="8"/>
      <c r="H23" s="8">
        <f>100-(52.12-38.27)/38.27*50</f>
        <v>81.90488633394304</v>
      </c>
      <c r="I23" s="8"/>
      <c r="J23" s="8"/>
      <c r="K23" s="8"/>
      <c r="L23" s="8"/>
      <c r="M23" s="8"/>
      <c r="N23" s="8"/>
      <c r="O23" s="8"/>
      <c r="P23" s="8"/>
      <c r="Q23" s="56"/>
      <c r="R23" s="67">
        <f t="shared" si="0"/>
        <v>81.90488633394304</v>
      </c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</row>
    <row r="24" spans="1:33" s="2" customFormat="1" ht="15" thickBot="1">
      <c r="A24" s="74" t="s">
        <v>238</v>
      </c>
      <c r="B24" s="84" t="s">
        <v>54</v>
      </c>
      <c r="C24" s="85" t="s">
        <v>55</v>
      </c>
      <c r="D24" s="92"/>
      <c r="E24" s="41"/>
      <c r="F24" s="45"/>
      <c r="G24" s="41"/>
      <c r="H24" s="42" t="s">
        <v>213</v>
      </c>
      <c r="I24" s="41">
        <f>100-(111.87-71.6)/71.6*50</f>
        <v>71.87849162011173</v>
      </c>
      <c r="J24" s="41"/>
      <c r="K24" s="41"/>
      <c r="L24" s="41"/>
      <c r="M24" s="41"/>
      <c r="N24" s="41"/>
      <c r="O24" s="41"/>
      <c r="P24" s="41"/>
      <c r="Q24" s="87"/>
      <c r="R24" s="68">
        <f t="shared" si="0"/>
        <v>71.87849162011173</v>
      </c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</row>
    <row r="25" spans="4:18" s="18" customFormat="1" ht="14.25">
      <c r="D25" s="19"/>
      <c r="E25" s="19"/>
      <c r="F25" s="20"/>
      <c r="G25" s="19"/>
      <c r="H25" s="21"/>
      <c r="I25" s="19"/>
      <c r="J25" s="19"/>
      <c r="K25" s="19"/>
      <c r="L25" s="19"/>
      <c r="M25" s="19"/>
      <c r="N25" s="19"/>
      <c r="O25" s="19"/>
      <c r="P25" s="19"/>
      <c r="Q25" s="19"/>
      <c r="R25" s="22"/>
    </row>
    <row r="26" spans="6:18" s="18" customFormat="1" ht="14.25">
      <c r="F26" s="23"/>
      <c r="J26" s="19"/>
      <c r="L26" s="19"/>
      <c r="N26" s="19"/>
      <c r="O26" s="19"/>
      <c r="R26" s="22"/>
    </row>
    <row r="27" spans="2:33" s="2" customFormat="1" ht="14.25">
      <c r="B27" s="2" t="s">
        <v>135</v>
      </c>
      <c r="C27" s="2" t="s">
        <v>10</v>
      </c>
      <c r="F27" s="3"/>
      <c r="J27" s="8"/>
      <c r="L27" s="8"/>
      <c r="N27" s="8">
        <f>100-(85.45-58.35)/58.35*50</f>
        <v>76.77806341045415</v>
      </c>
      <c r="O27" s="8">
        <f>100-(89.42-65.13)/65.13*50</f>
        <v>81.35267925687087</v>
      </c>
      <c r="R27" s="14">
        <f aca="true" t="shared" si="1" ref="R27:R32">SUM(D27:Q27)</f>
        <v>158.13074266732502</v>
      </c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</row>
    <row r="28" spans="2:33" s="2" customFormat="1" ht="14.25">
      <c r="B28" s="2" t="s">
        <v>52</v>
      </c>
      <c r="C28" s="2" t="s">
        <v>51</v>
      </c>
      <c r="D28" s="8"/>
      <c r="E28" s="8"/>
      <c r="F28" s="7"/>
      <c r="G28" s="8"/>
      <c r="H28" s="8">
        <f>100-(73.25-38.27)/38.27*50</f>
        <v>54.29840606218971</v>
      </c>
      <c r="I28" s="8"/>
      <c r="J28" s="8"/>
      <c r="K28" s="8"/>
      <c r="L28" s="8">
        <f>100-(46.1-29.45)/29.45*50</f>
        <v>71.73174872665534</v>
      </c>
      <c r="M28" s="8"/>
      <c r="N28" s="8"/>
      <c r="O28" s="8"/>
      <c r="P28" s="8"/>
      <c r="Q28" s="8"/>
      <c r="R28" s="14">
        <f t="shared" si="1"/>
        <v>126.03015478884505</v>
      </c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</row>
    <row r="29" spans="2:33" s="2" customFormat="1" ht="14.25">
      <c r="B29" s="2" t="s">
        <v>87</v>
      </c>
      <c r="C29" s="2" t="s">
        <v>61</v>
      </c>
      <c r="F29" s="3"/>
      <c r="J29" s="8"/>
      <c r="L29" s="8">
        <f>100-(39.6-29.45)/29.45*50</f>
        <v>82.76740237691001</v>
      </c>
      <c r="R29" s="14">
        <f t="shared" si="1"/>
        <v>82.76740237691001</v>
      </c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</row>
    <row r="30" spans="2:33" s="2" customFormat="1" ht="14.25">
      <c r="B30" s="2" t="s">
        <v>53</v>
      </c>
      <c r="C30" s="2" t="s">
        <v>51</v>
      </c>
      <c r="D30" s="8"/>
      <c r="E30" s="8"/>
      <c r="F30" s="7"/>
      <c r="G30" s="8"/>
      <c r="H30" s="8">
        <f>100-(81.15-38.27)/38.27*50</f>
        <v>43.97700548732689</v>
      </c>
      <c r="I30" s="8"/>
      <c r="J30" s="8"/>
      <c r="K30" s="8"/>
      <c r="L30" s="8"/>
      <c r="M30" s="8"/>
      <c r="N30" s="8"/>
      <c r="O30" s="8"/>
      <c r="P30" s="8"/>
      <c r="Q30" s="8"/>
      <c r="R30" s="14">
        <f t="shared" si="1"/>
        <v>43.97700548732689</v>
      </c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</row>
    <row r="31" spans="2:33" s="2" customFormat="1" ht="14.25">
      <c r="B31" s="2" t="s">
        <v>88</v>
      </c>
      <c r="C31" s="2" t="s">
        <v>51</v>
      </c>
      <c r="F31" s="3"/>
      <c r="J31" s="8"/>
      <c r="L31" s="8">
        <f>100-(63.25-29.45)/29.45*50</f>
        <v>42.61460101867572</v>
      </c>
      <c r="R31" s="14">
        <f t="shared" si="1"/>
        <v>42.61460101867572</v>
      </c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</row>
    <row r="32" spans="2:33" s="2" customFormat="1" ht="14.25">
      <c r="B32" s="2" t="s">
        <v>59</v>
      </c>
      <c r="C32" s="2" t="s">
        <v>61</v>
      </c>
      <c r="D32" s="8"/>
      <c r="E32" s="8"/>
      <c r="F32" s="7"/>
      <c r="G32" s="8"/>
      <c r="H32" s="8"/>
      <c r="I32" s="8">
        <f>100-(165.35-71.6)/71.6*50</f>
        <v>34.53212290502793</v>
      </c>
      <c r="J32" s="8"/>
      <c r="K32" s="8"/>
      <c r="L32" s="8"/>
      <c r="M32" s="8"/>
      <c r="N32" s="8"/>
      <c r="O32" s="8"/>
      <c r="P32" s="8"/>
      <c r="Q32" s="8"/>
      <c r="R32" s="14">
        <f t="shared" si="1"/>
        <v>34.53212290502793</v>
      </c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</row>
    <row r="33" spans="1:18" ht="14.25">
      <c r="A33" s="18"/>
      <c r="B33" s="18"/>
      <c r="C33" s="18"/>
      <c r="D33" s="19"/>
      <c r="E33" s="19"/>
      <c r="F33" s="20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</row>
    <row r="34" s="32" customFormat="1" ht="14.25">
      <c r="A34" s="32" t="s">
        <v>212</v>
      </c>
    </row>
    <row r="35" s="33" customFormat="1" ht="14.25">
      <c r="A35" s="33" t="s">
        <v>124</v>
      </c>
    </row>
    <row r="36" s="32" customFormat="1" ht="14.25">
      <c r="A36" s="32" t="s">
        <v>214</v>
      </c>
    </row>
  </sheetData>
  <sheetProtection/>
  <autoFilter ref="B2:U2">
    <sortState ref="B3:U36">
      <sortCondition descending="1" sortBy="value" ref="Q3:Q36"/>
    </sortState>
  </autoFilter>
  <mergeCells count="1">
    <mergeCell ref="A1:R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26"/>
  <sheetViews>
    <sheetView zoomScalePageLayoutView="0" workbookViewId="0" topLeftCell="A1">
      <selection activeCell="M39" sqref="M39"/>
    </sheetView>
  </sheetViews>
  <sheetFormatPr defaultColWidth="9.140625" defaultRowHeight="15"/>
  <cols>
    <col min="1" max="1" width="4.7109375" style="1" customWidth="1"/>
    <col min="2" max="2" width="18.00390625" style="1" customWidth="1"/>
    <col min="3" max="3" width="11.8515625" style="1" customWidth="1"/>
    <col min="4" max="18" width="9.140625" style="1" customWidth="1"/>
    <col min="19" max="32" width="9.00390625" style="18" customWidth="1"/>
    <col min="33" max="16384" width="9.00390625" style="1" customWidth="1"/>
  </cols>
  <sheetData>
    <row r="1" spans="1:20" ht="34.5" thickBot="1">
      <c r="A1" s="116" t="s">
        <v>40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8"/>
      <c r="S1" s="36"/>
      <c r="T1" s="36"/>
    </row>
    <row r="2" spans="1:20" ht="150" thickBot="1">
      <c r="A2" s="50" t="s">
        <v>215</v>
      </c>
      <c r="B2" s="51" t="s">
        <v>216</v>
      </c>
      <c r="C2" s="51" t="s">
        <v>0</v>
      </c>
      <c r="D2" s="52" t="s">
        <v>62</v>
      </c>
      <c r="E2" s="52" t="s">
        <v>63</v>
      </c>
      <c r="F2" s="52" t="s">
        <v>45</v>
      </c>
      <c r="G2" s="52" t="s">
        <v>46</v>
      </c>
      <c r="H2" s="52" t="s">
        <v>47</v>
      </c>
      <c r="I2" s="52" t="s">
        <v>48</v>
      </c>
      <c r="J2" s="52" t="s">
        <v>64</v>
      </c>
      <c r="K2" s="52" t="s">
        <v>65</v>
      </c>
      <c r="L2" s="52" t="s">
        <v>66</v>
      </c>
      <c r="M2" s="52" t="s">
        <v>67</v>
      </c>
      <c r="N2" s="52" t="s">
        <v>74</v>
      </c>
      <c r="O2" s="52" t="s">
        <v>75</v>
      </c>
      <c r="P2" s="52" t="s">
        <v>68</v>
      </c>
      <c r="Q2" s="52" t="s">
        <v>69</v>
      </c>
      <c r="R2" s="53" t="s">
        <v>1</v>
      </c>
      <c r="S2" s="34"/>
      <c r="T2" s="34"/>
    </row>
    <row r="3" spans="1:18" ht="14.25">
      <c r="A3" s="46" t="s">
        <v>217</v>
      </c>
      <c r="B3" s="15" t="s">
        <v>16</v>
      </c>
      <c r="C3" s="15" t="s">
        <v>17</v>
      </c>
      <c r="D3" s="17">
        <f>100-(29.62-29.62)/29.62*50</f>
        <v>100</v>
      </c>
      <c r="E3" s="17">
        <f>100-(70.32-70.32)/70.32*50</f>
        <v>100</v>
      </c>
      <c r="F3" s="17">
        <f>100-(50.25-50.25)/50.25*50</f>
        <v>100</v>
      </c>
      <c r="G3" s="17">
        <f>100-(61.68-61.68)/61.68*50</f>
        <v>100</v>
      </c>
      <c r="H3" s="17">
        <f>100-(47.6-47.6)/47.6*50</f>
        <v>100</v>
      </c>
      <c r="I3" s="17">
        <f>100-(59.23-59.23)/59.23*50</f>
        <v>100</v>
      </c>
      <c r="J3" s="17">
        <f>100-(26.27-26.27)/26.27*50</f>
        <v>100</v>
      </c>
      <c r="K3" s="48">
        <f>100-(59.38-57.97)/57.97*50</f>
        <v>98.78385371744005</v>
      </c>
      <c r="L3" s="48">
        <f>100-(24.98-24.98)/24.98*50</f>
        <v>100</v>
      </c>
      <c r="M3" s="48">
        <f>100-(88.85-79.8)/79.8*50</f>
        <v>94.3295739348371</v>
      </c>
      <c r="N3" s="48">
        <f>100-(49.95-49.95)/49.95*50</f>
        <v>100</v>
      </c>
      <c r="O3" s="48">
        <f>100-(54.92-45.85)/45.85*50</f>
        <v>90.10905125408942</v>
      </c>
      <c r="P3" s="48">
        <f>100-(41.13-41.13)/41.13*50</f>
        <v>100</v>
      </c>
      <c r="Q3" s="48">
        <f>100-(41.15-41.15)/41.15*50</f>
        <v>100</v>
      </c>
      <c r="R3" s="49">
        <f>SUM(D3:Q3)-K3-L3-M3-N3-O3-P3-Q3</f>
        <v>700.0000000000001</v>
      </c>
    </row>
    <row r="4" spans="1:18" ht="14.25">
      <c r="A4" s="37" t="s">
        <v>218</v>
      </c>
      <c r="B4" s="2" t="s">
        <v>26</v>
      </c>
      <c r="C4" s="2" t="s">
        <v>27</v>
      </c>
      <c r="D4" s="8">
        <f>100-(34.42-29.62)/29.62*50</f>
        <v>91.89736664415935</v>
      </c>
      <c r="E4" s="13" t="s">
        <v>213</v>
      </c>
      <c r="F4" s="8"/>
      <c r="G4" s="8"/>
      <c r="H4" s="8">
        <f>100-(53.27-47.6)/47.6*50</f>
        <v>94.04411764705883</v>
      </c>
      <c r="I4" s="12">
        <f>100-(70.75-59.23)/59.23*50</f>
        <v>90.27519837919972</v>
      </c>
      <c r="J4" s="12">
        <f>100-(32.07-26.27)/26.27*50</f>
        <v>88.96079177769319</v>
      </c>
      <c r="K4" s="8">
        <f>100-(66.97-57.97)/57.97*50</f>
        <v>92.23736415387269</v>
      </c>
      <c r="L4" s="8">
        <f>100-(29.42-24.98)/24.98*50</f>
        <v>91.1128903122498</v>
      </c>
      <c r="M4" s="12">
        <f>100-(110.88-79.8)/79.8*50</f>
        <v>80.52631578947368</v>
      </c>
      <c r="N4" s="8">
        <f>100-(58.08-49.95)/49.95*50</f>
        <v>91.86186186186187</v>
      </c>
      <c r="O4" s="13" t="s">
        <v>213</v>
      </c>
      <c r="P4" s="8">
        <f>100-(45.92-41.13)/41.13*50</f>
        <v>94.17699975686847</v>
      </c>
      <c r="Q4" s="8">
        <f>100-(47.18-41.15)/41.15*50</f>
        <v>92.67314702308627</v>
      </c>
      <c r="R4" s="38">
        <f>SUM(D4:Q4)-M4-J4-I4</f>
        <v>648.0037473991571</v>
      </c>
    </row>
    <row r="5" spans="1:18" ht="14.25">
      <c r="A5" s="37" t="s">
        <v>219</v>
      </c>
      <c r="B5" s="2" t="s">
        <v>24</v>
      </c>
      <c r="C5" s="2" t="s">
        <v>3</v>
      </c>
      <c r="D5" s="8">
        <f>100-(33.17-29.62)/29.62*50</f>
        <v>94.00742741390953</v>
      </c>
      <c r="E5" s="8">
        <f>100-(83.13-70.32)/70.32*50</f>
        <v>90.89163822525597</v>
      </c>
      <c r="F5" s="7"/>
      <c r="G5" s="8"/>
      <c r="H5" s="8">
        <f>100-(54.57-47.6)/47.6*50</f>
        <v>92.67857142857143</v>
      </c>
      <c r="I5" s="12">
        <f>100-(73.88-59.23)/59.23*50</f>
        <v>87.63295627215938</v>
      </c>
      <c r="J5" s="12">
        <f>100-(34.7-26.27)/26.27*50</f>
        <v>83.95508184240578</v>
      </c>
      <c r="K5" s="8">
        <f>100-(68.92-57.97)/57.97*50</f>
        <v>90.5554597205451</v>
      </c>
      <c r="L5" s="8">
        <f>100-(28.38-24.98)/24.98*50</f>
        <v>93.19455564451562</v>
      </c>
      <c r="M5" s="12">
        <f>100-(106.43-79.8)/79.8*50</f>
        <v>83.31453634085213</v>
      </c>
      <c r="N5" s="8">
        <f>100-(57.58-49.95)/49.95*50</f>
        <v>92.36236236236236</v>
      </c>
      <c r="O5" s="8">
        <f>100-(55.35-45.85)/45.85*50</f>
        <v>89.6401308615049</v>
      </c>
      <c r="P5" s="8"/>
      <c r="Q5" s="8"/>
      <c r="R5" s="38">
        <f>SUM(D5:Q5)-I5-J5-M5</f>
        <v>643.3301456566649</v>
      </c>
    </row>
    <row r="6" spans="1:18" ht="14.25">
      <c r="A6" s="37" t="s">
        <v>220</v>
      </c>
      <c r="B6" s="2" t="s">
        <v>21</v>
      </c>
      <c r="C6" s="2" t="s">
        <v>5</v>
      </c>
      <c r="D6" s="8">
        <f>100-(36.53-29.62)/29.62*50</f>
        <v>88.33558406482106</v>
      </c>
      <c r="E6" s="8">
        <f>100-(86.97-70.32)/70.32*50</f>
        <v>88.16126279863481</v>
      </c>
      <c r="F6" s="8"/>
      <c r="G6" s="7"/>
      <c r="H6" s="8">
        <f>100-(63.43-47.6)/47.6*50</f>
        <v>83.3718487394958</v>
      </c>
      <c r="I6" s="12">
        <f>100-(88.87-59.23)/59.23*50</f>
        <v>74.97889582981597</v>
      </c>
      <c r="J6" s="8">
        <f>100-(35.18-26.27)/26.27*50</f>
        <v>83.04149219642177</v>
      </c>
      <c r="K6" s="12">
        <f>100-(79.92-57.97)/57.97*50</f>
        <v>81.0677936863895</v>
      </c>
      <c r="L6" s="8">
        <f>100-(32.1-24.98)/24.98*50</f>
        <v>85.74859887910328</v>
      </c>
      <c r="M6" s="12">
        <f>100-(117.3-79.8)/79.8*50</f>
        <v>76.50375939849624</v>
      </c>
      <c r="N6" s="12">
        <f>100-(78.7-49.95)/49.95*50</f>
        <v>71.22122122122121</v>
      </c>
      <c r="O6" s="8">
        <f>100-(62.3-45.85)/45.85*50</f>
        <v>82.06106870229009</v>
      </c>
      <c r="P6" s="8">
        <f>100-(55.78-41.13)/41.13*50</f>
        <v>82.19061512278142</v>
      </c>
      <c r="Q6" s="9" t="s">
        <v>60</v>
      </c>
      <c r="R6" s="38">
        <f>SUM(D6:Q6)-I6-M6-N6-K6</f>
        <v>592.9104705035481</v>
      </c>
    </row>
    <row r="7" spans="1:18" ht="14.25">
      <c r="A7" s="37" t="s">
        <v>221</v>
      </c>
      <c r="B7" s="2" t="s">
        <v>79</v>
      </c>
      <c r="C7" s="2" t="s">
        <v>3</v>
      </c>
      <c r="D7" s="2"/>
      <c r="E7" s="2"/>
      <c r="F7" s="2"/>
      <c r="G7" s="2"/>
      <c r="H7" s="2"/>
      <c r="I7" s="2"/>
      <c r="J7" s="8">
        <f>100-(27.73-26.27)/26.27*50</f>
        <v>97.22116482679863</v>
      </c>
      <c r="K7" s="8">
        <f>100-(57.97-57.97)/57.97*50</f>
        <v>100</v>
      </c>
      <c r="L7" s="8">
        <f>100-(31.03-24.98)/24.98*50</f>
        <v>87.89031224979983</v>
      </c>
      <c r="M7" s="8">
        <f>100-(79.8-79.8)/79.8*50</f>
        <v>100</v>
      </c>
      <c r="N7" s="2"/>
      <c r="O7" s="2"/>
      <c r="P7" s="8">
        <f>100-(41.65-41.13)/41.13*50</f>
        <v>99.36785801118405</v>
      </c>
      <c r="Q7" s="8">
        <f>100-(41.92-41.15)/41.15*50</f>
        <v>99.0643985419198</v>
      </c>
      <c r="R7" s="38">
        <f aca="true" t="shared" si="0" ref="R7:R18">SUM(D7:Q7)</f>
        <v>583.5437336297024</v>
      </c>
    </row>
    <row r="8" spans="1:18" ht="14.25">
      <c r="A8" s="37" t="s">
        <v>222</v>
      </c>
      <c r="B8" s="2" t="s">
        <v>80</v>
      </c>
      <c r="C8" s="2" t="s">
        <v>38</v>
      </c>
      <c r="D8" s="2"/>
      <c r="E8" s="2"/>
      <c r="F8" s="2"/>
      <c r="G8" s="2"/>
      <c r="H8" s="2"/>
      <c r="I8" s="2"/>
      <c r="J8" s="8">
        <f>100-(33.28-26.27)/26.27*50</f>
        <v>86.65778454510848</v>
      </c>
      <c r="K8" s="8">
        <f>100-(63.05-57.97)/57.97*50</f>
        <v>95.61842332240815</v>
      </c>
      <c r="L8" s="2"/>
      <c r="M8" s="2"/>
      <c r="N8" s="8">
        <f>100-(55.45-49.95)/49.95*50</f>
        <v>94.49449449449449</v>
      </c>
      <c r="O8" s="8">
        <f>100-(62.42-45.85)/45.85*50</f>
        <v>81.93020719738277</v>
      </c>
      <c r="P8" s="2"/>
      <c r="Q8" s="2"/>
      <c r="R8" s="38">
        <f t="shared" si="0"/>
        <v>358.70090955939384</v>
      </c>
    </row>
    <row r="9" spans="1:18" ht="14.25">
      <c r="A9" s="37" t="s">
        <v>223</v>
      </c>
      <c r="B9" s="2" t="s">
        <v>129</v>
      </c>
      <c r="C9" s="2" t="s">
        <v>127</v>
      </c>
      <c r="D9" s="2"/>
      <c r="E9" s="2"/>
      <c r="F9" s="2"/>
      <c r="G9" s="2"/>
      <c r="H9" s="2"/>
      <c r="I9" s="2"/>
      <c r="J9" s="2"/>
      <c r="K9" s="2"/>
      <c r="L9" s="2"/>
      <c r="M9" s="8">
        <f>100-(136.6-79.8)/79.8*50</f>
        <v>64.41102756892231</v>
      </c>
      <c r="N9" s="2"/>
      <c r="O9" s="2"/>
      <c r="P9" s="8">
        <f>100-(54.08-41.13)/41.13*50</f>
        <v>84.25723316314127</v>
      </c>
      <c r="Q9" s="8">
        <f>100-(57.78-41.15)/41.15*50</f>
        <v>79.79343863912514</v>
      </c>
      <c r="R9" s="38">
        <f t="shared" si="0"/>
        <v>228.46169937118873</v>
      </c>
    </row>
    <row r="10" spans="1:18" ht="14.25">
      <c r="A10" s="37" t="s">
        <v>224</v>
      </c>
      <c r="B10" s="2" t="s">
        <v>126</v>
      </c>
      <c r="C10" s="2" t="s">
        <v>127</v>
      </c>
      <c r="D10" s="2"/>
      <c r="E10" s="2"/>
      <c r="F10" s="2"/>
      <c r="G10" s="2"/>
      <c r="H10" s="2"/>
      <c r="I10" s="2"/>
      <c r="J10" s="2"/>
      <c r="K10" s="2"/>
      <c r="L10" s="2"/>
      <c r="M10" s="8">
        <f>100-(130.77-79.8)/79.8*50</f>
        <v>68.06390977443608</v>
      </c>
      <c r="N10" s="2"/>
      <c r="O10" s="2"/>
      <c r="P10" s="8">
        <f>100-(55.3-41.13)/41.13*50</f>
        <v>82.77413080476538</v>
      </c>
      <c r="Q10" s="8">
        <f>100-(59.92-41.15)/41.15*50</f>
        <v>77.19319562575942</v>
      </c>
      <c r="R10" s="38">
        <f t="shared" si="0"/>
        <v>228.03123620496086</v>
      </c>
    </row>
    <row r="11" spans="1:18" ht="14.25">
      <c r="A11" s="37" t="s">
        <v>225</v>
      </c>
      <c r="B11" s="2" t="s">
        <v>106</v>
      </c>
      <c r="C11" s="2" t="s">
        <v>23</v>
      </c>
      <c r="D11" s="2"/>
      <c r="E11" s="2"/>
      <c r="F11" s="2"/>
      <c r="G11" s="3"/>
      <c r="H11" s="3"/>
      <c r="I11" s="2"/>
      <c r="J11" s="2"/>
      <c r="K11" s="3"/>
      <c r="L11" s="8">
        <f>100-(28.15-24.98)/24.98*50</f>
        <v>93.65492393915133</v>
      </c>
      <c r="M11" s="3"/>
      <c r="N11" s="4"/>
      <c r="O11" s="2"/>
      <c r="P11" s="2"/>
      <c r="Q11" s="8">
        <f>100-(51.92-41.15)/41.15*50</f>
        <v>86.91373025516403</v>
      </c>
      <c r="R11" s="38">
        <f t="shared" si="0"/>
        <v>180.56865419431534</v>
      </c>
    </row>
    <row r="12" spans="1:18" ht="14.25">
      <c r="A12" s="37" t="s">
        <v>226</v>
      </c>
      <c r="B12" s="2" t="s">
        <v>128</v>
      </c>
      <c r="C12" s="2" t="s">
        <v>12</v>
      </c>
      <c r="D12" s="2"/>
      <c r="E12" s="2"/>
      <c r="F12" s="2"/>
      <c r="G12" s="2"/>
      <c r="H12" s="2"/>
      <c r="I12" s="2"/>
      <c r="J12" s="2"/>
      <c r="K12" s="2"/>
      <c r="L12" s="2"/>
      <c r="M12" s="8">
        <f>100-(136.1-79.8)/79.8*50</f>
        <v>64.72431077694236</v>
      </c>
      <c r="N12" s="8">
        <f>100-(64.55-49.95)/49.95*50</f>
        <v>85.38538538538539</v>
      </c>
      <c r="O12" s="2"/>
      <c r="P12" s="2"/>
      <c r="Q12" s="2"/>
      <c r="R12" s="38">
        <f t="shared" si="0"/>
        <v>150.10969616232774</v>
      </c>
    </row>
    <row r="13" spans="1:18" ht="14.25">
      <c r="A13" s="37" t="s">
        <v>227</v>
      </c>
      <c r="B13" s="2" t="s">
        <v>134</v>
      </c>
      <c r="C13" s="2" t="s">
        <v>6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8"/>
      <c r="O13" s="8">
        <f>100-(45.85-45.85)/45.85*50</f>
        <v>100</v>
      </c>
      <c r="P13" s="2"/>
      <c r="Q13" s="2"/>
      <c r="R13" s="38">
        <f t="shared" si="0"/>
        <v>100</v>
      </c>
    </row>
    <row r="14" spans="1:18" ht="14.25">
      <c r="A14" s="37" t="s">
        <v>228</v>
      </c>
      <c r="B14" s="2" t="s">
        <v>143</v>
      </c>
      <c r="C14" s="2" t="s">
        <v>3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8">
        <f>100-(55.43-49.95)/49.95*50</f>
        <v>94.51451451451452</v>
      </c>
      <c r="O14" s="2"/>
      <c r="P14" s="2"/>
      <c r="Q14" s="2"/>
      <c r="R14" s="38">
        <f t="shared" si="0"/>
        <v>94.51451451451452</v>
      </c>
    </row>
    <row r="15" spans="1:18" ht="14.25">
      <c r="A15" s="37" t="s">
        <v>229</v>
      </c>
      <c r="B15" s="2" t="s">
        <v>107</v>
      </c>
      <c r="C15" s="2" t="s">
        <v>78</v>
      </c>
      <c r="D15" s="2"/>
      <c r="E15" s="2"/>
      <c r="F15" s="2"/>
      <c r="G15" s="2"/>
      <c r="H15" s="2"/>
      <c r="I15" s="2"/>
      <c r="J15" s="2"/>
      <c r="K15" s="2"/>
      <c r="L15" s="8">
        <f>100-(35.05-24.98)/24.98*50</f>
        <v>79.84387510008007</v>
      </c>
      <c r="M15" s="2"/>
      <c r="N15" s="2"/>
      <c r="O15" s="2"/>
      <c r="P15" s="2"/>
      <c r="Q15" s="2"/>
      <c r="R15" s="38">
        <f t="shared" si="0"/>
        <v>79.84387510008007</v>
      </c>
    </row>
    <row r="16" spans="1:18" ht="14.25">
      <c r="A16" s="37" t="s">
        <v>230</v>
      </c>
      <c r="B16" s="2" t="s">
        <v>144</v>
      </c>
      <c r="C16" s="2" t="s">
        <v>22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8">
        <f>100-(77.37-49.95)/49.95*50</f>
        <v>72.55255255255256</v>
      </c>
      <c r="O16" s="2"/>
      <c r="P16" s="2"/>
      <c r="Q16" s="2"/>
      <c r="R16" s="38">
        <f t="shared" si="0"/>
        <v>72.55255255255256</v>
      </c>
    </row>
    <row r="17" spans="1:18" ht="14.25">
      <c r="A17" s="37" t="s">
        <v>231</v>
      </c>
      <c r="B17" s="2" t="s">
        <v>211</v>
      </c>
      <c r="C17" s="2" t="s">
        <v>55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8"/>
      <c r="O17" s="8"/>
      <c r="P17" s="9"/>
      <c r="Q17" s="8">
        <f>100-(76.4-41.15)/41.15*50</f>
        <v>57.16889428918589</v>
      </c>
      <c r="R17" s="38">
        <f t="shared" si="0"/>
        <v>57.16889428918589</v>
      </c>
    </row>
    <row r="18" spans="1:18" ht="15" thickBot="1">
      <c r="A18" s="39" t="s">
        <v>232</v>
      </c>
      <c r="B18" s="40" t="s">
        <v>161</v>
      </c>
      <c r="C18" s="40" t="s">
        <v>154</v>
      </c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1"/>
      <c r="O18" s="41"/>
      <c r="P18" s="42" t="s">
        <v>213</v>
      </c>
      <c r="Q18" s="42" t="s">
        <v>213</v>
      </c>
      <c r="R18" s="43">
        <f t="shared" si="0"/>
        <v>0</v>
      </c>
    </row>
    <row r="19" spans="1:18" ht="14.25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9"/>
      <c r="O19" s="19"/>
      <c r="P19" s="21"/>
      <c r="Q19" s="19"/>
      <c r="R19" s="22"/>
    </row>
    <row r="20" spans="1:18" ht="14.25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9"/>
      <c r="O20" s="19"/>
      <c r="P20" s="18"/>
      <c r="Q20" s="18"/>
      <c r="R20" s="22"/>
    </row>
    <row r="21" spans="1:18" ht="14.25">
      <c r="A21" s="2"/>
      <c r="B21" s="2" t="s">
        <v>142</v>
      </c>
      <c r="C21" s="2" t="s">
        <v>38</v>
      </c>
      <c r="D21" s="8">
        <f>100-(25.39-25.39)/25.39*50</f>
        <v>100</v>
      </c>
      <c r="E21" s="9" t="s">
        <v>60</v>
      </c>
      <c r="F21" s="2"/>
      <c r="G21" s="2"/>
      <c r="H21" s="2"/>
      <c r="I21" s="2"/>
      <c r="J21" s="8">
        <f>100-(25.52-25.52)/25.52*50</f>
        <v>100</v>
      </c>
      <c r="K21" s="8">
        <f>100-(56.24-56.24)/56.24*50</f>
        <v>100</v>
      </c>
      <c r="L21" s="2"/>
      <c r="M21" s="2"/>
      <c r="N21" s="8">
        <f>100-(47.35-47.35)/47.35*50</f>
        <v>100</v>
      </c>
      <c r="O21" s="8">
        <f>100-(51.65-45.85)/45.85*50</f>
        <v>93.67502726281353</v>
      </c>
      <c r="P21" s="2"/>
      <c r="Q21" s="2"/>
      <c r="R21" s="14">
        <f>SUM(D21:Q21)</f>
        <v>493.6750272628135</v>
      </c>
    </row>
    <row r="22" spans="1:18" ht="14.25">
      <c r="A22" s="2"/>
      <c r="B22" s="2" t="s">
        <v>82</v>
      </c>
      <c r="C22" s="2" t="s">
        <v>81</v>
      </c>
      <c r="D22" s="2"/>
      <c r="E22" s="2"/>
      <c r="F22" s="2"/>
      <c r="G22" s="2"/>
      <c r="H22" s="2"/>
      <c r="I22" s="2"/>
      <c r="J22" s="8">
        <f>100-(34.93-26.27)/26.27*50</f>
        <v>83.51732013703844</v>
      </c>
      <c r="K22" s="2"/>
      <c r="L22" s="2"/>
      <c r="M22" s="2"/>
      <c r="N22" s="2"/>
      <c r="O22" s="2"/>
      <c r="P22" s="2"/>
      <c r="Q22" s="2"/>
      <c r="R22" s="14">
        <f>SUM(D22:Q22)</f>
        <v>83.51732013703844</v>
      </c>
    </row>
    <row r="23" spans="1:18" ht="14.25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9"/>
      <c r="O23" s="18"/>
      <c r="P23" s="18"/>
      <c r="Q23" s="18"/>
      <c r="R23" s="18"/>
    </row>
    <row r="24" s="32" customFormat="1" ht="14.25">
      <c r="A24" s="32" t="s">
        <v>212</v>
      </c>
    </row>
    <row r="25" s="33" customFormat="1" ht="14.25">
      <c r="A25" s="33" t="s">
        <v>124</v>
      </c>
    </row>
    <row r="26" s="32" customFormat="1" ht="14.25">
      <c r="A26" s="32" t="s">
        <v>214</v>
      </c>
    </row>
  </sheetData>
  <sheetProtection/>
  <autoFilter ref="B2:R2">
    <sortState ref="B3:R26">
      <sortCondition descending="1" sortBy="value" ref="Q3:Q26"/>
    </sortState>
  </autoFilter>
  <mergeCells count="1">
    <mergeCell ref="A1:R1"/>
  </mergeCells>
  <printOptions/>
  <pageMargins left="0.7" right="0.7" top="0.75" bottom="0.75" header="0.3" footer="0.3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18"/>
  <sheetViews>
    <sheetView zoomScalePageLayoutView="0" workbookViewId="0" topLeftCell="A1">
      <selection activeCell="J22" sqref="J22"/>
    </sheetView>
  </sheetViews>
  <sheetFormatPr defaultColWidth="9.140625" defaultRowHeight="15"/>
  <cols>
    <col min="1" max="1" width="5.140625" style="1" customWidth="1"/>
    <col min="2" max="2" width="19.8515625" style="1" customWidth="1"/>
    <col min="3" max="3" width="11.8515625" style="1" customWidth="1"/>
    <col min="4" max="5" width="9.140625" style="1" customWidth="1"/>
    <col min="6" max="6" width="9.140625" style="6" customWidth="1"/>
    <col min="7" max="18" width="9.140625" style="1" customWidth="1"/>
    <col min="19" max="28" width="9.00390625" style="18" customWidth="1"/>
    <col min="29" max="16384" width="9.00390625" style="1" customWidth="1"/>
  </cols>
  <sheetData>
    <row r="1" spans="1:20" ht="28.5" customHeight="1" thickBot="1">
      <c r="A1" s="116" t="s">
        <v>40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8"/>
      <c r="S1" s="36"/>
      <c r="T1" s="36"/>
    </row>
    <row r="2" spans="1:20" ht="150" thickBot="1">
      <c r="A2" s="97" t="s">
        <v>215</v>
      </c>
      <c r="B2" s="50" t="s">
        <v>216</v>
      </c>
      <c r="C2" s="79" t="s">
        <v>0</v>
      </c>
      <c r="D2" s="75" t="s">
        <v>62</v>
      </c>
      <c r="E2" s="52" t="s">
        <v>63</v>
      </c>
      <c r="F2" s="52" t="s">
        <v>45</v>
      </c>
      <c r="G2" s="52" t="s">
        <v>46</v>
      </c>
      <c r="H2" s="52" t="s">
        <v>47</v>
      </c>
      <c r="I2" s="52" t="s">
        <v>48</v>
      </c>
      <c r="J2" s="52" t="s">
        <v>64</v>
      </c>
      <c r="K2" s="52" t="s">
        <v>65</v>
      </c>
      <c r="L2" s="52" t="s">
        <v>66</v>
      </c>
      <c r="M2" s="52" t="s">
        <v>67</v>
      </c>
      <c r="N2" s="52" t="s">
        <v>74</v>
      </c>
      <c r="O2" s="52" t="s">
        <v>75</v>
      </c>
      <c r="P2" s="52" t="s">
        <v>68</v>
      </c>
      <c r="Q2" s="61" t="s">
        <v>69</v>
      </c>
      <c r="R2" s="65" t="s">
        <v>1</v>
      </c>
      <c r="S2" s="34"/>
      <c r="T2" s="34"/>
    </row>
    <row r="3" spans="1:18" ht="14.25">
      <c r="A3" s="98" t="s">
        <v>217</v>
      </c>
      <c r="B3" s="80" t="s">
        <v>44</v>
      </c>
      <c r="C3" s="81" t="s">
        <v>31</v>
      </c>
      <c r="D3" s="69"/>
      <c r="E3" s="17">
        <f>100-(68.82-61.77)/61.77*50</f>
        <v>94.29334628460418</v>
      </c>
      <c r="F3" s="47"/>
      <c r="G3" s="17"/>
      <c r="H3" s="17"/>
      <c r="I3" s="17"/>
      <c r="J3" s="17">
        <f>100-(33.28-31.53)/31.53*50</f>
        <v>97.22486520773866</v>
      </c>
      <c r="K3" s="17">
        <f>100-(64.92-61.5)/61.5*50</f>
        <v>97.21951219512195</v>
      </c>
      <c r="L3" s="17">
        <f>100-(33.75-29.07)/29.07*50</f>
        <v>91.95046439628483</v>
      </c>
      <c r="M3" s="55" t="s">
        <v>213</v>
      </c>
      <c r="N3" s="17">
        <f>100-(52.73-44.08)/44.08*50</f>
        <v>90.1882940108893</v>
      </c>
      <c r="O3" s="17">
        <f>100-(52.75-48.97)/48.97*50</f>
        <v>96.14049418011027</v>
      </c>
      <c r="P3" s="17"/>
      <c r="Q3" s="62"/>
      <c r="R3" s="66">
        <f aca="true" t="shared" si="0" ref="R3:R11">SUM(D3:Q3)</f>
        <v>567.0169762747493</v>
      </c>
    </row>
    <row r="4" spans="1:18" ht="14.25">
      <c r="A4" s="99" t="s">
        <v>218</v>
      </c>
      <c r="B4" s="82" t="s">
        <v>132</v>
      </c>
      <c r="C4" s="83" t="s">
        <v>84</v>
      </c>
      <c r="D4" s="35"/>
      <c r="E4" s="2"/>
      <c r="F4" s="3"/>
      <c r="G4" s="2"/>
      <c r="H4" s="2"/>
      <c r="I4" s="2"/>
      <c r="J4" s="2"/>
      <c r="K4" s="2"/>
      <c r="L4" s="2"/>
      <c r="M4" s="8">
        <f>100-(124.07-91.75)/91.75*50</f>
        <v>82.38692098092643</v>
      </c>
      <c r="N4" s="8">
        <f>100-(67.83-44.08)/44.08*50</f>
        <v>73.0603448275862</v>
      </c>
      <c r="O4" s="8">
        <f>100-(70.75-48.97)/48.97*50</f>
        <v>77.76189503777823</v>
      </c>
      <c r="P4" s="2"/>
      <c r="Q4" s="57"/>
      <c r="R4" s="67">
        <f t="shared" si="0"/>
        <v>233.20916084629087</v>
      </c>
    </row>
    <row r="5" spans="1:18" ht="14.25">
      <c r="A5" s="99" t="s">
        <v>219</v>
      </c>
      <c r="B5" s="82" t="s">
        <v>145</v>
      </c>
      <c r="C5" s="83" t="s">
        <v>3</v>
      </c>
      <c r="D5" s="35"/>
      <c r="E5" s="2"/>
      <c r="F5" s="3"/>
      <c r="G5" s="2"/>
      <c r="H5" s="2"/>
      <c r="I5" s="2"/>
      <c r="J5" s="2"/>
      <c r="K5" s="2"/>
      <c r="L5" s="2"/>
      <c r="M5" s="2"/>
      <c r="N5" s="8">
        <f>100-(44.08-44.08)/44.08*50</f>
        <v>100</v>
      </c>
      <c r="O5" s="8">
        <f>100-(48.97-48.97)/48.97*50</f>
        <v>100</v>
      </c>
      <c r="P5" s="2"/>
      <c r="Q5" s="57"/>
      <c r="R5" s="67">
        <f t="shared" si="0"/>
        <v>200</v>
      </c>
    </row>
    <row r="6" spans="1:18" ht="14.25">
      <c r="A6" s="99" t="s">
        <v>220</v>
      </c>
      <c r="B6" s="82" t="s">
        <v>109</v>
      </c>
      <c r="C6" s="83" t="s">
        <v>3</v>
      </c>
      <c r="D6" s="35"/>
      <c r="E6" s="2"/>
      <c r="F6" s="3"/>
      <c r="G6" s="2"/>
      <c r="H6" s="2"/>
      <c r="I6" s="2"/>
      <c r="J6" s="2"/>
      <c r="K6" s="2"/>
      <c r="L6" s="8">
        <f>100-(31.5-29.07)/29.07*50</f>
        <v>95.82043343653251</v>
      </c>
      <c r="M6" s="8">
        <f>100-(94.68-91.75)/91.75*50</f>
        <v>98.40326975476839</v>
      </c>
      <c r="N6" s="2"/>
      <c r="O6" s="2"/>
      <c r="P6" s="2"/>
      <c r="Q6" s="57"/>
      <c r="R6" s="67">
        <f t="shared" si="0"/>
        <v>194.2237031913009</v>
      </c>
    </row>
    <row r="7" spans="1:18" ht="14.25">
      <c r="A7" s="99" t="s">
        <v>221</v>
      </c>
      <c r="B7" s="82" t="s">
        <v>146</v>
      </c>
      <c r="C7" s="83" t="s">
        <v>10</v>
      </c>
      <c r="D7" s="35"/>
      <c r="E7" s="2"/>
      <c r="F7" s="3"/>
      <c r="G7" s="2"/>
      <c r="H7" s="2"/>
      <c r="I7" s="2"/>
      <c r="J7" s="2"/>
      <c r="K7" s="2"/>
      <c r="L7" s="2"/>
      <c r="M7" s="2"/>
      <c r="N7" s="8">
        <f>100-(47.42-44.08)/44.08*50</f>
        <v>96.2114337568058</v>
      </c>
      <c r="O7" s="8">
        <f>100-(62.05-48.97)/48.97*50</f>
        <v>86.64488462323872</v>
      </c>
      <c r="P7" s="2"/>
      <c r="Q7" s="57"/>
      <c r="R7" s="67">
        <f t="shared" si="0"/>
        <v>182.8563183800445</v>
      </c>
    </row>
    <row r="8" spans="1:18" ht="14.25">
      <c r="A8" s="99" t="s">
        <v>222</v>
      </c>
      <c r="B8" s="82" t="s">
        <v>108</v>
      </c>
      <c r="C8" s="83" t="s">
        <v>17</v>
      </c>
      <c r="D8" s="35"/>
      <c r="E8" s="2"/>
      <c r="F8" s="3"/>
      <c r="G8" s="2"/>
      <c r="H8" s="2"/>
      <c r="I8" s="2"/>
      <c r="J8" s="2"/>
      <c r="K8" s="2"/>
      <c r="L8" s="8">
        <f>100-(29.07-29.07)/29.07*50</f>
        <v>100</v>
      </c>
      <c r="M8" s="2"/>
      <c r="N8" s="2"/>
      <c r="O8" s="2"/>
      <c r="P8" s="2"/>
      <c r="Q8" s="57"/>
      <c r="R8" s="67">
        <f t="shared" si="0"/>
        <v>100</v>
      </c>
    </row>
    <row r="9" spans="1:18" ht="14.25">
      <c r="A9" s="99" t="s">
        <v>223</v>
      </c>
      <c r="B9" s="82" t="s">
        <v>131</v>
      </c>
      <c r="C9" s="83" t="s">
        <v>17</v>
      </c>
      <c r="D9" s="35"/>
      <c r="E9" s="2"/>
      <c r="F9" s="3"/>
      <c r="G9" s="2"/>
      <c r="H9" s="2"/>
      <c r="I9" s="2"/>
      <c r="J9" s="2"/>
      <c r="K9" s="2"/>
      <c r="L9" s="2"/>
      <c r="M9" s="8">
        <f>100-(104.5-91.75)/91.75*50</f>
        <v>93.05177111716621</v>
      </c>
      <c r="N9" s="2"/>
      <c r="O9" s="2"/>
      <c r="P9" s="2"/>
      <c r="Q9" s="57"/>
      <c r="R9" s="67">
        <f t="shared" si="0"/>
        <v>93.05177111716621</v>
      </c>
    </row>
    <row r="10" spans="1:18" ht="14.25">
      <c r="A10" s="99" t="s">
        <v>224</v>
      </c>
      <c r="B10" s="82" t="s">
        <v>32</v>
      </c>
      <c r="C10" s="83" t="s">
        <v>38</v>
      </c>
      <c r="D10" s="35"/>
      <c r="E10" s="8">
        <f>100-(70.62-61.77)/61.77*50</f>
        <v>92.83632831471589</v>
      </c>
      <c r="F10" s="7"/>
      <c r="G10" s="7"/>
      <c r="H10" s="8"/>
      <c r="I10" s="8"/>
      <c r="J10" s="8"/>
      <c r="K10" s="8"/>
      <c r="L10" s="8"/>
      <c r="M10" s="8"/>
      <c r="N10" s="8"/>
      <c r="O10" s="8"/>
      <c r="P10" s="8"/>
      <c r="Q10" s="56"/>
      <c r="R10" s="67">
        <f t="shared" si="0"/>
        <v>92.83632831471589</v>
      </c>
    </row>
    <row r="11" spans="1:18" ht="15" thickBot="1">
      <c r="A11" s="100" t="s">
        <v>225</v>
      </c>
      <c r="B11" s="84" t="s">
        <v>133</v>
      </c>
      <c r="C11" s="85" t="s">
        <v>22</v>
      </c>
      <c r="D11" s="70"/>
      <c r="E11" s="40"/>
      <c r="F11" s="59"/>
      <c r="G11" s="40"/>
      <c r="H11" s="40"/>
      <c r="I11" s="40"/>
      <c r="J11" s="40"/>
      <c r="K11" s="40"/>
      <c r="L11" s="40"/>
      <c r="M11" s="42" t="s">
        <v>213</v>
      </c>
      <c r="N11" s="40"/>
      <c r="O11" s="40"/>
      <c r="P11" s="40"/>
      <c r="Q11" s="101"/>
      <c r="R11" s="68">
        <f t="shared" si="0"/>
        <v>0</v>
      </c>
    </row>
    <row r="12" spans="1:18" ht="14.25">
      <c r="A12" s="18"/>
      <c r="B12" s="18"/>
      <c r="C12" s="18"/>
      <c r="D12" s="18"/>
      <c r="E12" s="18"/>
      <c r="F12" s="23"/>
      <c r="G12" s="18"/>
      <c r="H12" s="18"/>
      <c r="I12" s="18"/>
      <c r="J12" s="18"/>
      <c r="K12" s="18"/>
      <c r="L12" s="18"/>
      <c r="M12" s="115"/>
      <c r="N12" s="18"/>
      <c r="O12" s="18"/>
      <c r="P12" s="18"/>
      <c r="Q12" s="18"/>
      <c r="R12" s="22"/>
    </row>
    <row r="13" spans="1:18" ht="14.25">
      <c r="A13" s="18"/>
      <c r="B13" s="18"/>
      <c r="C13" s="18"/>
      <c r="D13" s="18"/>
      <c r="E13" s="18"/>
      <c r="F13" s="23"/>
      <c r="G13" s="18"/>
      <c r="H13" s="18"/>
      <c r="I13" s="18"/>
      <c r="J13" s="18"/>
      <c r="K13" s="18"/>
      <c r="L13" s="18"/>
      <c r="M13" s="18"/>
      <c r="N13" s="19"/>
      <c r="O13" s="19"/>
      <c r="P13" s="18"/>
      <c r="Q13" s="18"/>
      <c r="R13" s="22"/>
    </row>
    <row r="14" spans="1:18" ht="14.25">
      <c r="A14" s="2"/>
      <c r="B14" s="2" t="s">
        <v>130</v>
      </c>
      <c r="C14" s="2" t="s">
        <v>61</v>
      </c>
      <c r="D14" s="2"/>
      <c r="E14" s="2"/>
      <c r="F14" s="3"/>
      <c r="G14" s="2"/>
      <c r="H14" s="2"/>
      <c r="I14" s="2"/>
      <c r="J14" s="2"/>
      <c r="K14" s="2"/>
      <c r="L14" s="2"/>
      <c r="M14" s="8">
        <f>100-(91.75-91.75)/91.75*50</f>
        <v>100</v>
      </c>
      <c r="N14" s="8">
        <f>100-(50.8-44.08)/44.08*50</f>
        <v>92.37749546279491</v>
      </c>
      <c r="O14" s="8">
        <f>100-(64.65-48.97)/48.97*50</f>
        <v>83.99019808045742</v>
      </c>
      <c r="P14" s="2"/>
      <c r="Q14" s="2"/>
      <c r="R14" s="14">
        <f>SUM(D14:Q14)</f>
        <v>276.36769354325236</v>
      </c>
    </row>
    <row r="15" spans="1:18" ht="14.25">
      <c r="A15" s="18"/>
      <c r="B15" s="18"/>
      <c r="C15" s="18"/>
      <c r="D15" s="18"/>
      <c r="E15" s="18"/>
      <c r="F15" s="23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</row>
    <row r="16" s="32" customFormat="1" ht="14.25">
      <c r="A16" s="32" t="s">
        <v>212</v>
      </c>
    </row>
    <row r="17" s="33" customFormat="1" ht="14.25">
      <c r="A17" s="33" t="s">
        <v>124</v>
      </c>
    </row>
    <row r="18" s="32" customFormat="1" ht="14.25">
      <c r="A18" s="32" t="s">
        <v>214</v>
      </c>
    </row>
  </sheetData>
  <sheetProtection/>
  <autoFilter ref="B2:R2">
    <sortState ref="B3:R18">
      <sortCondition descending="1" sortBy="value" ref="Q3:Q18"/>
    </sortState>
  </autoFilter>
  <mergeCells count="1">
    <mergeCell ref="A1:R1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1"/>
  <sheetViews>
    <sheetView zoomScalePageLayoutView="0" workbookViewId="0" topLeftCell="A1">
      <selection activeCell="D23" sqref="D23"/>
    </sheetView>
  </sheetViews>
  <sheetFormatPr defaultColWidth="9.140625" defaultRowHeight="15"/>
  <cols>
    <col min="1" max="1" width="5.00390625" style="1" customWidth="1"/>
    <col min="2" max="2" width="20.7109375" style="1" customWidth="1"/>
    <col min="3" max="3" width="14.57421875" style="1" customWidth="1"/>
    <col min="4" max="18" width="9.140625" style="1" customWidth="1"/>
    <col min="19" max="21" width="9.00390625" style="18" customWidth="1"/>
    <col min="22" max="16384" width="9.00390625" style="1" customWidth="1"/>
  </cols>
  <sheetData>
    <row r="1" spans="1:20" ht="30" customHeight="1" thickBot="1">
      <c r="A1" s="116" t="s">
        <v>40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8"/>
      <c r="S1" s="36"/>
      <c r="T1" s="36"/>
    </row>
    <row r="2" spans="1:20" ht="150" thickBot="1">
      <c r="A2" s="50" t="s">
        <v>215</v>
      </c>
      <c r="B2" s="51" t="s">
        <v>216</v>
      </c>
      <c r="C2" s="51" t="s">
        <v>0</v>
      </c>
      <c r="D2" s="52" t="s">
        <v>62</v>
      </c>
      <c r="E2" s="52" t="s">
        <v>63</v>
      </c>
      <c r="F2" s="52" t="s">
        <v>45</v>
      </c>
      <c r="G2" s="52" t="s">
        <v>46</v>
      </c>
      <c r="H2" s="52" t="s">
        <v>47</v>
      </c>
      <c r="I2" s="52" t="s">
        <v>48</v>
      </c>
      <c r="J2" s="52" t="s">
        <v>64</v>
      </c>
      <c r="K2" s="52" t="s">
        <v>65</v>
      </c>
      <c r="L2" s="52" t="s">
        <v>66</v>
      </c>
      <c r="M2" s="52" t="s">
        <v>67</v>
      </c>
      <c r="N2" s="52" t="s">
        <v>74</v>
      </c>
      <c r="O2" s="52" t="s">
        <v>75</v>
      </c>
      <c r="P2" s="52" t="s">
        <v>68</v>
      </c>
      <c r="Q2" s="52" t="s">
        <v>69</v>
      </c>
      <c r="R2" s="53" t="s">
        <v>1</v>
      </c>
      <c r="S2" s="34"/>
      <c r="T2" s="34"/>
    </row>
    <row r="3" spans="1:18" ht="14.25">
      <c r="A3" s="46" t="s">
        <v>217</v>
      </c>
      <c r="B3" s="15" t="s">
        <v>13</v>
      </c>
      <c r="C3" s="15" t="s">
        <v>3</v>
      </c>
      <c r="D3" s="48">
        <f>100-(35.02-30.58)/30.58*50</f>
        <v>92.74035317200784</v>
      </c>
      <c r="E3" s="17">
        <f>100-(86.3-81.05)/81.05*50</f>
        <v>96.76125848241826</v>
      </c>
      <c r="F3" s="17"/>
      <c r="G3" s="54"/>
      <c r="H3" s="17"/>
      <c r="I3" s="17"/>
      <c r="J3" s="55" t="s">
        <v>213</v>
      </c>
      <c r="K3" s="17">
        <f>100-(70.08-70.08)/70.08*50</f>
        <v>100</v>
      </c>
      <c r="L3" s="17">
        <f>100-(32.65-29.82)/29.82*50</f>
        <v>95.25486250838364</v>
      </c>
      <c r="M3" s="47"/>
      <c r="N3" s="17">
        <f>100-(57.53-57.53)/57.53*50</f>
        <v>100</v>
      </c>
      <c r="O3" s="17">
        <f>100-(70.17-70.17)/70.17*50</f>
        <v>100</v>
      </c>
      <c r="P3" s="17">
        <f>100-(41.73-41.73)/41.73*50</f>
        <v>100</v>
      </c>
      <c r="Q3" s="17">
        <f>100-(41.27-41.27)/41.27*50</f>
        <v>100</v>
      </c>
      <c r="R3" s="49">
        <f>SUM(D3:Q3)-D3</f>
        <v>692.0161209908018</v>
      </c>
    </row>
    <row r="4" spans="1:18" ht="14.25">
      <c r="A4" s="37" t="s">
        <v>218</v>
      </c>
      <c r="B4" s="2" t="s">
        <v>92</v>
      </c>
      <c r="C4" s="2" t="s">
        <v>3</v>
      </c>
      <c r="D4" s="2"/>
      <c r="E4" s="2"/>
      <c r="F4" s="3"/>
      <c r="G4" s="4"/>
      <c r="H4" s="2"/>
      <c r="I4" s="2"/>
      <c r="J4" s="8">
        <f>100-(44.7-29.95)/29.95*50</f>
        <v>75.37562604340567</v>
      </c>
      <c r="K4" s="8">
        <f>100-(93.95-70.08)/70.08*50</f>
        <v>82.96946347031962</v>
      </c>
      <c r="L4" s="8">
        <f>100-(41.87-29.82)/29.82*50</f>
        <v>79.79543930248155</v>
      </c>
      <c r="M4" s="8">
        <f>100-(113.38-110.08)/110.08*50</f>
        <v>98.50109011627907</v>
      </c>
      <c r="N4" s="8">
        <f>100-(93.92-57.53)/57.53*50</f>
        <v>68.37302277072831</v>
      </c>
      <c r="O4" s="8">
        <f>100-(90.22-70.17)/70.17*50</f>
        <v>85.71326777825281</v>
      </c>
      <c r="P4" s="2"/>
      <c r="Q4" s="8">
        <f>100-(52.3-41.27)/41.27*50</f>
        <v>86.63678216622245</v>
      </c>
      <c r="R4" s="38">
        <f aca="true" t="shared" si="0" ref="R4:R13">SUM(D4:Q4)</f>
        <v>577.3646916476895</v>
      </c>
    </row>
    <row r="5" spans="1:18" ht="14.25">
      <c r="A5" s="37" t="s">
        <v>219</v>
      </c>
      <c r="B5" s="2" t="s">
        <v>91</v>
      </c>
      <c r="C5" s="2" t="s">
        <v>6</v>
      </c>
      <c r="D5" s="2"/>
      <c r="E5" s="2"/>
      <c r="F5" s="2"/>
      <c r="G5" s="2"/>
      <c r="H5" s="2"/>
      <c r="I5" s="2"/>
      <c r="J5" s="2"/>
      <c r="K5" s="2"/>
      <c r="L5" s="8">
        <f>100-(40.12-29.82)/29.82*50</f>
        <v>82.72971160295104</v>
      </c>
      <c r="M5" s="8">
        <f>100-(117.47-110.08)/110.08*50</f>
        <v>96.64335029069767</v>
      </c>
      <c r="N5" s="2"/>
      <c r="O5" s="2"/>
      <c r="P5" s="8">
        <f>100-(52.75-41.73)/41.73*50</f>
        <v>86.79606997364006</v>
      </c>
      <c r="Q5" s="8">
        <f>100-(59.97-41.27)/41.27*50</f>
        <v>77.3443179064696</v>
      </c>
      <c r="R5" s="38">
        <f t="shared" si="0"/>
        <v>343.51344977375834</v>
      </c>
    </row>
    <row r="6" spans="1:18" ht="14.25">
      <c r="A6" s="37" t="s">
        <v>220</v>
      </c>
      <c r="B6" s="2" t="s">
        <v>136</v>
      </c>
      <c r="C6" s="2" t="s">
        <v>10</v>
      </c>
      <c r="D6" s="2"/>
      <c r="E6" s="2"/>
      <c r="F6" s="2"/>
      <c r="G6" s="2"/>
      <c r="H6" s="2"/>
      <c r="I6" s="2"/>
      <c r="J6" s="2"/>
      <c r="K6" s="2"/>
      <c r="L6" s="8"/>
      <c r="M6" s="10"/>
      <c r="N6" s="8">
        <f>100-(127-57.53)/57.53*50</f>
        <v>39.62280549278637</v>
      </c>
      <c r="O6" s="8">
        <f>100-(89.32-70.17)/70.17*50</f>
        <v>86.35456747897963</v>
      </c>
      <c r="P6" s="2"/>
      <c r="Q6" s="8">
        <f>100-(64.17-41.27)/41.27*50</f>
        <v>72.2558759389387</v>
      </c>
      <c r="R6" s="38">
        <f t="shared" si="0"/>
        <v>198.2332489107047</v>
      </c>
    </row>
    <row r="7" spans="1:18" ht="14.25">
      <c r="A7" s="37" t="s">
        <v>221</v>
      </c>
      <c r="B7" s="2" t="s">
        <v>145</v>
      </c>
      <c r="C7" s="2" t="s">
        <v>3</v>
      </c>
      <c r="D7" s="2"/>
      <c r="E7" s="2"/>
      <c r="F7" s="2"/>
      <c r="G7" s="2"/>
      <c r="H7" s="2"/>
      <c r="I7" s="2"/>
      <c r="J7" s="2"/>
      <c r="K7" s="2"/>
      <c r="L7" s="8"/>
      <c r="M7" s="10"/>
      <c r="N7" s="2"/>
      <c r="O7" s="2"/>
      <c r="P7" s="8">
        <f>100-(49.07-41.73)/41.73*50</f>
        <v>91.20536784088185</v>
      </c>
      <c r="Q7" s="8">
        <f>100-(46.77-41.27)/41.27*50</f>
        <v>93.33656409013811</v>
      </c>
      <c r="R7" s="38">
        <f t="shared" si="0"/>
        <v>184.54193193101997</v>
      </c>
    </row>
    <row r="8" spans="1:18" ht="14.25">
      <c r="A8" s="37" t="s">
        <v>222</v>
      </c>
      <c r="B8" s="2" t="s">
        <v>89</v>
      </c>
      <c r="C8" s="2" t="s">
        <v>90</v>
      </c>
      <c r="D8" s="2"/>
      <c r="E8" s="2"/>
      <c r="F8" s="2"/>
      <c r="G8" s="2"/>
      <c r="H8" s="2"/>
      <c r="I8" s="2"/>
      <c r="J8" s="2"/>
      <c r="K8" s="2"/>
      <c r="L8" s="8">
        <f>100-(29.82-29.82)/29.82*50</f>
        <v>100</v>
      </c>
      <c r="M8" s="2"/>
      <c r="N8" s="2"/>
      <c r="O8" s="2"/>
      <c r="P8" s="2"/>
      <c r="Q8" s="2"/>
      <c r="R8" s="38">
        <f t="shared" si="0"/>
        <v>100</v>
      </c>
    </row>
    <row r="9" spans="1:18" ht="14.25">
      <c r="A9" s="37" t="s">
        <v>223</v>
      </c>
      <c r="B9" s="2" t="s">
        <v>110</v>
      </c>
      <c r="C9" s="2" t="s">
        <v>6</v>
      </c>
      <c r="D9" s="2"/>
      <c r="E9" s="2"/>
      <c r="F9" s="2"/>
      <c r="G9" s="2"/>
      <c r="H9" s="2"/>
      <c r="I9" s="2"/>
      <c r="J9" s="2"/>
      <c r="K9" s="2"/>
      <c r="L9" s="2"/>
      <c r="M9" s="8">
        <f>100-(110.08-110.08)/110.08*50</f>
        <v>100</v>
      </c>
      <c r="N9" s="2"/>
      <c r="O9" s="2"/>
      <c r="P9" s="2"/>
      <c r="Q9" s="2"/>
      <c r="R9" s="38">
        <f t="shared" si="0"/>
        <v>100</v>
      </c>
    </row>
    <row r="10" spans="1:18" ht="14.25">
      <c r="A10" s="37" t="s">
        <v>224</v>
      </c>
      <c r="B10" s="2" t="s">
        <v>146</v>
      </c>
      <c r="C10" s="2" t="s">
        <v>10</v>
      </c>
      <c r="D10" s="2"/>
      <c r="E10" s="2"/>
      <c r="F10" s="2"/>
      <c r="G10" s="2"/>
      <c r="H10" s="2"/>
      <c r="I10" s="2"/>
      <c r="J10" s="2"/>
      <c r="K10" s="2"/>
      <c r="L10" s="8"/>
      <c r="M10" s="10"/>
      <c r="N10" s="2"/>
      <c r="O10" s="2"/>
      <c r="P10" s="8"/>
      <c r="Q10" s="8">
        <f>100-(52.93-41.27)/41.27*50</f>
        <v>85.8735158710928</v>
      </c>
      <c r="R10" s="38">
        <f t="shared" si="0"/>
        <v>85.8735158710928</v>
      </c>
    </row>
    <row r="11" spans="1:18" ht="14.25">
      <c r="A11" s="37" t="s">
        <v>225</v>
      </c>
      <c r="B11" s="2" t="s">
        <v>77</v>
      </c>
      <c r="C11" s="2" t="s">
        <v>78</v>
      </c>
      <c r="D11" s="2"/>
      <c r="E11" s="2"/>
      <c r="F11" s="2"/>
      <c r="G11" s="2"/>
      <c r="H11" s="2"/>
      <c r="I11" s="2"/>
      <c r="J11" s="8">
        <f>100-(38.73-29.95)/29.95*50</f>
        <v>85.34223706176962</v>
      </c>
      <c r="K11" s="2"/>
      <c r="L11" s="2"/>
      <c r="M11" s="2"/>
      <c r="N11" s="2"/>
      <c r="O11" s="2"/>
      <c r="P11" s="2"/>
      <c r="Q11" s="2"/>
      <c r="R11" s="38">
        <f t="shared" si="0"/>
        <v>85.34223706176962</v>
      </c>
    </row>
    <row r="12" spans="1:18" ht="14.25">
      <c r="A12" s="37" t="s">
        <v>226</v>
      </c>
      <c r="B12" s="2" t="s">
        <v>191</v>
      </c>
      <c r="C12" s="2" t="s">
        <v>192</v>
      </c>
      <c r="D12" s="2"/>
      <c r="E12" s="2"/>
      <c r="F12" s="2"/>
      <c r="G12" s="2"/>
      <c r="H12" s="2"/>
      <c r="I12" s="2"/>
      <c r="J12" s="2"/>
      <c r="K12" s="2"/>
      <c r="L12" s="8"/>
      <c r="M12" s="10"/>
      <c r="N12" s="2"/>
      <c r="O12" s="2"/>
      <c r="P12" s="8"/>
      <c r="Q12" s="8">
        <f>100-(56.17-41.27)/41.27*50</f>
        <v>81.94814635328326</v>
      </c>
      <c r="R12" s="38">
        <f t="shared" si="0"/>
        <v>81.94814635328326</v>
      </c>
    </row>
    <row r="13" spans="1:18" ht="15" thickBot="1">
      <c r="A13" s="39" t="s">
        <v>227</v>
      </c>
      <c r="B13" s="40" t="s">
        <v>93</v>
      </c>
      <c r="C13" s="40" t="s">
        <v>12</v>
      </c>
      <c r="D13" s="40"/>
      <c r="E13" s="40"/>
      <c r="F13" s="40"/>
      <c r="G13" s="40"/>
      <c r="H13" s="40"/>
      <c r="I13" s="40"/>
      <c r="J13" s="40"/>
      <c r="K13" s="40"/>
      <c r="L13" s="41">
        <f>100-(53.38-29.82)/29.82*50</f>
        <v>60.49631120053655</v>
      </c>
      <c r="M13" s="42" t="s">
        <v>213</v>
      </c>
      <c r="N13" s="40"/>
      <c r="O13" s="40"/>
      <c r="P13" s="40"/>
      <c r="Q13" s="40"/>
      <c r="R13" s="43">
        <f t="shared" si="0"/>
        <v>60.49631120053655</v>
      </c>
    </row>
    <row r="14" spans="1:21" s="24" customFormat="1" ht="14.25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9"/>
      <c r="M14" s="26"/>
      <c r="N14" s="18"/>
      <c r="O14" s="18"/>
      <c r="P14" s="18"/>
      <c r="Q14" s="18"/>
      <c r="R14" s="22"/>
      <c r="S14" s="18"/>
      <c r="T14" s="18"/>
      <c r="U14" s="18"/>
    </row>
    <row r="15" spans="12:21" s="25" customFormat="1" ht="14.25">
      <c r="L15" s="27"/>
      <c r="M15" s="28"/>
      <c r="N15" s="27"/>
      <c r="O15" s="27"/>
      <c r="R15" s="29"/>
      <c r="S15" s="18"/>
      <c r="T15" s="18"/>
      <c r="U15" s="18"/>
    </row>
    <row r="16" spans="2:22" s="2" customFormat="1" ht="14.25">
      <c r="B16" s="2" t="s">
        <v>111</v>
      </c>
      <c r="C16" s="2" t="s">
        <v>23</v>
      </c>
      <c r="J16" s="8">
        <f>100-(56.88-29.95)/29.95*50</f>
        <v>55.04173622704507</v>
      </c>
      <c r="M16" s="8">
        <f>100-(147.1-110.08)/110.08*50</f>
        <v>83.18495639534883</v>
      </c>
      <c r="N16" s="8">
        <f>100-(131.52-57.53)/57.53*50</f>
        <v>35.694420302450894</v>
      </c>
      <c r="O16" s="8">
        <f>100-(102.8-70.17)/70.17*50</f>
        <v>76.74932307253812</v>
      </c>
      <c r="P16" s="8">
        <f>100-(54.18-41.73)/41.73*50</f>
        <v>85.08267433501078</v>
      </c>
      <c r="Q16" s="8">
        <f>100-(53.75-41.27)/41.27*50</f>
        <v>84.88005815362249</v>
      </c>
      <c r="R16" s="14">
        <f>SUM(D16:Q16)</f>
        <v>420.6331684860162</v>
      </c>
      <c r="S16" s="18"/>
      <c r="T16" s="18"/>
      <c r="U16" s="18"/>
      <c r="V16" s="35"/>
    </row>
    <row r="17" spans="2:22" s="2" customFormat="1" ht="14.25">
      <c r="B17" s="2" t="s">
        <v>112</v>
      </c>
      <c r="C17" s="2" t="s">
        <v>61</v>
      </c>
      <c r="M17" s="8">
        <f>100-(120.83-110.08)/110.08*50</f>
        <v>95.1171875</v>
      </c>
      <c r="O17" s="8">
        <f>100-(87.87-70.17)/70.17*50</f>
        <v>87.38777255237281</v>
      </c>
      <c r="P17" s="8">
        <f>100-(54.87-41.73)/41.73*50</f>
        <v>84.25593098490295</v>
      </c>
      <c r="Q17" s="8">
        <f>100-(48.43-41.27)/41.27*50</f>
        <v>91.32541797916163</v>
      </c>
      <c r="R17" s="14">
        <f>SUM(D17:Q17)</f>
        <v>358.0863090164374</v>
      </c>
      <c r="S17" s="18"/>
      <c r="T17" s="18"/>
      <c r="U17" s="18"/>
      <c r="V17" s="35"/>
    </row>
    <row r="18" s="18" customFormat="1" ht="14.25">
      <c r="R18" s="19"/>
    </row>
    <row r="19" s="32" customFormat="1" ht="14.25">
      <c r="A19" s="32" t="s">
        <v>212</v>
      </c>
    </row>
    <row r="20" s="33" customFormat="1" ht="14.25">
      <c r="A20" s="33" t="s">
        <v>124</v>
      </c>
    </row>
    <row r="21" s="32" customFormat="1" ht="14.25">
      <c r="A21" s="32" t="s">
        <v>214</v>
      </c>
    </row>
  </sheetData>
  <sheetProtection/>
  <autoFilter ref="B2:R2">
    <sortState ref="B3:R21">
      <sortCondition descending="1" sortBy="value" ref="Q3:Q21"/>
    </sortState>
  </autoFilter>
  <mergeCells count="1">
    <mergeCell ref="A1:R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32"/>
  <sheetViews>
    <sheetView workbookViewId="0" topLeftCell="A1">
      <selection activeCell="N36" sqref="N36"/>
    </sheetView>
  </sheetViews>
  <sheetFormatPr defaultColWidth="9.140625" defaultRowHeight="15"/>
  <cols>
    <col min="1" max="1" width="5.140625" style="1" customWidth="1"/>
    <col min="2" max="2" width="20.8515625" style="1" customWidth="1"/>
    <col min="3" max="3" width="9.00390625" style="1" customWidth="1"/>
    <col min="4" max="7" width="9.140625" style="6" customWidth="1"/>
    <col min="8" max="18" width="9.140625" style="1" customWidth="1"/>
    <col min="19" max="28" width="9.00390625" style="18" customWidth="1"/>
    <col min="29" max="16384" width="9.00390625" style="1" customWidth="1"/>
  </cols>
  <sheetData>
    <row r="1" spans="1:20" ht="28.5" customHeight="1" thickBot="1">
      <c r="A1" s="116" t="s">
        <v>40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8"/>
      <c r="S1" s="93"/>
      <c r="T1" s="93"/>
    </row>
    <row r="2" spans="1:20" ht="150" thickBot="1">
      <c r="A2" s="71" t="s">
        <v>215</v>
      </c>
      <c r="B2" s="50" t="s">
        <v>216</v>
      </c>
      <c r="C2" s="79" t="s">
        <v>0</v>
      </c>
      <c r="D2" s="75" t="s">
        <v>62</v>
      </c>
      <c r="E2" s="52" t="s">
        <v>63</v>
      </c>
      <c r="F2" s="52" t="s">
        <v>45</v>
      </c>
      <c r="G2" s="52" t="s">
        <v>46</v>
      </c>
      <c r="H2" s="52" t="s">
        <v>47</v>
      </c>
      <c r="I2" s="52" t="s">
        <v>48</v>
      </c>
      <c r="J2" s="52" t="s">
        <v>64</v>
      </c>
      <c r="K2" s="52" t="s">
        <v>65</v>
      </c>
      <c r="L2" s="52" t="s">
        <v>66</v>
      </c>
      <c r="M2" s="52" t="s">
        <v>67</v>
      </c>
      <c r="N2" s="52" t="s">
        <v>74</v>
      </c>
      <c r="O2" s="52" t="s">
        <v>75</v>
      </c>
      <c r="P2" s="52" t="s">
        <v>68</v>
      </c>
      <c r="Q2" s="61" t="s">
        <v>69</v>
      </c>
      <c r="R2" s="65" t="s">
        <v>1</v>
      </c>
      <c r="S2" s="34"/>
      <c r="T2" s="34"/>
    </row>
    <row r="3" spans="1:18" ht="14.25">
      <c r="A3" s="72" t="s">
        <v>217</v>
      </c>
      <c r="B3" s="80" t="s">
        <v>95</v>
      </c>
      <c r="C3" s="81" t="s">
        <v>10</v>
      </c>
      <c r="D3" s="76"/>
      <c r="E3" s="16"/>
      <c r="F3" s="16"/>
      <c r="G3" s="16"/>
      <c r="H3" s="15"/>
      <c r="I3" s="15"/>
      <c r="J3" s="15"/>
      <c r="K3" s="15"/>
      <c r="L3" s="17"/>
      <c r="M3" s="17"/>
      <c r="N3" s="17"/>
      <c r="O3" s="15"/>
      <c r="P3" s="17">
        <f>100-(35.32-35.08)/35.08*50</f>
        <v>99.65792474344356</v>
      </c>
      <c r="Q3" s="62">
        <f>100-(23.57-23.57)/23.57*50</f>
        <v>100</v>
      </c>
      <c r="R3" s="66">
        <f aca="true" t="shared" si="0" ref="R3:R25">SUM(D3:Q3)</f>
        <v>199.65792474344357</v>
      </c>
    </row>
    <row r="4" spans="1:18" ht="14.25">
      <c r="A4" s="73" t="s">
        <v>218</v>
      </c>
      <c r="B4" s="82" t="s">
        <v>96</v>
      </c>
      <c r="C4" s="83" t="s">
        <v>98</v>
      </c>
      <c r="D4" s="77"/>
      <c r="E4" s="3"/>
      <c r="F4" s="3"/>
      <c r="G4" s="3"/>
      <c r="H4" s="2"/>
      <c r="I4" s="2"/>
      <c r="J4" s="2"/>
      <c r="K4" s="2"/>
      <c r="L4" s="8"/>
      <c r="M4" s="8"/>
      <c r="N4" s="2"/>
      <c r="O4" s="2"/>
      <c r="P4" s="8">
        <f>100-(35.08-35.08)/35.08*50</f>
        <v>100</v>
      </c>
      <c r="Q4" s="56">
        <f>100-(30.73-23.57)/23.57*50</f>
        <v>84.81120067882902</v>
      </c>
      <c r="R4" s="67">
        <f t="shared" si="0"/>
        <v>184.81120067882904</v>
      </c>
    </row>
    <row r="5" spans="1:18" ht="14.25">
      <c r="A5" s="73" t="s">
        <v>219</v>
      </c>
      <c r="B5" s="82" t="s">
        <v>164</v>
      </c>
      <c r="C5" s="83" t="s">
        <v>98</v>
      </c>
      <c r="D5" s="77"/>
      <c r="E5" s="3"/>
      <c r="F5" s="3"/>
      <c r="G5" s="3"/>
      <c r="H5" s="2"/>
      <c r="I5" s="2"/>
      <c r="J5" s="2"/>
      <c r="K5" s="2"/>
      <c r="L5" s="2"/>
      <c r="M5" s="8"/>
      <c r="N5" s="8"/>
      <c r="O5" s="2"/>
      <c r="P5" s="8">
        <f>100-(45.63-35.08)/35.08*50</f>
        <v>84.96294184720638</v>
      </c>
      <c r="Q5" s="56">
        <f>100-(28.47-23.57)/23.57*50</f>
        <v>89.60543063215952</v>
      </c>
      <c r="R5" s="67">
        <f t="shared" si="0"/>
        <v>174.5683724793659</v>
      </c>
    </row>
    <row r="6" spans="1:18" ht="14.25">
      <c r="A6" s="73" t="s">
        <v>220</v>
      </c>
      <c r="B6" s="82" t="s">
        <v>165</v>
      </c>
      <c r="C6" s="83" t="s">
        <v>154</v>
      </c>
      <c r="D6" s="77"/>
      <c r="E6" s="3"/>
      <c r="F6" s="3"/>
      <c r="G6" s="3"/>
      <c r="H6" s="2"/>
      <c r="I6" s="2"/>
      <c r="J6" s="2"/>
      <c r="K6" s="2"/>
      <c r="L6" s="8"/>
      <c r="M6" s="2"/>
      <c r="N6" s="2"/>
      <c r="O6" s="2"/>
      <c r="P6" s="8">
        <f>100-(58.25-35.08)/35.08*50</f>
        <v>66.97548460661345</v>
      </c>
      <c r="Q6" s="56">
        <f>100-(33.83-23.57)/23.57*50</f>
        <v>78.23504454815443</v>
      </c>
      <c r="R6" s="67">
        <f t="shared" si="0"/>
        <v>145.21052915476787</v>
      </c>
    </row>
    <row r="7" spans="1:18" ht="14.25">
      <c r="A7" s="73" t="s">
        <v>221</v>
      </c>
      <c r="B7" s="82" t="s">
        <v>167</v>
      </c>
      <c r="C7" s="83" t="s">
        <v>154</v>
      </c>
      <c r="D7" s="77"/>
      <c r="E7" s="3"/>
      <c r="F7" s="3"/>
      <c r="G7" s="3"/>
      <c r="H7" s="2"/>
      <c r="I7" s="2"/>
      <c r="J7" s="2"/>
      <c r="K7" s="2"/>
      <c r="L7" s="2"/>
      <c r="M7" s="2"/>
      <c r="N7" s="2"/>
      <c r="O7" s="8"/>
      <c r="P7" s="8">
        <f>100-(60.92-35.08)/35.08*50</f>
        <v>63.16989737742303</v>
      </c>
      <c r="Q7" s="56">
        <f>100-(38.95-23.57)/23.57*50</f>
        <v>67.3737802291048</v>
      </c>
      <c r="R7" s="67">
        <f t="shared" si="0"/>
        <v>130.5436776065278</v>
      </c>
    </row>
    <row r="8" spans="1:18" ht="14.25">
      <c r="A8" s="73" t="s">
        <v>222</v>
      </c>
      <c r="B8" s="82" t="s">
        <v>168</v>
      </c>
      <c r="C8" s="83" t="s">
        <v>154</v>
      </c>
      <c r="D8" s="77"/>
      <c r="E8" s="3"/>
      <c r="F8" s="3"/>
      <c r="G8" s="3"/>
      <c r="H8" s="2"/>
      <c r="I8" s="2"/>
      <c r="J8" s="2"/>
      <c r="K8" s="2"/>
      <c r="L8" s="2"/>
      <c r="M8" s="2"/>
      <c r="N8" s="2"/>
      <c r="O8" s="8"/>
      <c r="P8" s="8">
        <f>100-(60.93-35.08)/35.08*50</f>
        <v>63.15564424173318</v>
      </c>
      <c r="Q8" s="56">
        <f>100-(48.07-23.57)/23.57*50</f>
        <v>48.02715316079762</v>
      </c>
      <c r="R8" s="67">
        <f t="shared" si="0"/>
        <v>111.1827974025308</v>
      </c>
    </row>
    <row r="9" spans="1:18" ht="14.25">
      <c r="A9" s="73" t="s">
        <v>223</v>
      </c>
      <c r="B9" s="82" t="s">
        <v>170</v>
      </c>
      <c r="C9" s="83" t="s">
        <v>154</v>
      </c>
      <c r="D9" s="77"/>
      <c r="E9" s="3"/>
      <c r="F9" s="3"/>
      <c r="G9" s="3"/>
      <c r="H9" s="2"/>
      <c r="I9" s="2"/>
      <c r="J9" s="2"/>
      <c r="K9" s="2"/>
      <c r="L9" s="2"/>
      <c r="M9" s="2"/>
      <c r="N9" s="2"/>
      <c r="O9" s="8"/>
      <c r="P9" s="8">
        <f>100-(67.97-35.08)/35.08*50</f>
        <v>53.12143671607753</v>
      </c>
      <c r="Q9" s="56">
        <f>100-(44.35-23.57)/23.57*50</f>
        <v>55.91854051760713</v>
      </c>
      <c r="R9" s="67">
        <f t="shared" si="0"/>
        <v>109.03997723368465</v>
      </c>
    </row>
    <row r="10" spans="1:18" ht="14.25">
      <c r="A10" s="73" t="s">
        <v>224</v>
      </c>
      <c r="B10" s="82" t="s">
        <v>166</v>
      </c>
      <c r="C10" s="83" t="s">
        <v>154</v>
      </c>
      <c r="D10" s="77"/>
      <c r="E10" s="3"/>
      <c r="F10" s="3"/>
      <c r="G10" s="3"/>
      <c r="H10" s="2"/>
      <c r="I10" s="2"/>
      <c r="J10" s="2"/>
      <c r="K10" s="2"/>
      <c r="L10" s="2"/>
      <c r="M10" s="8"/>
      <c r="N10" s="2"/>
      <c r="O10" s="2"/>
      <c r="P10" s="8">
        <f>100-(60.33-35.08)/35.08*50</f>
        <v>64.01083238312428</v>
      </c>
      <c r="Q10" s="63" t="s">
        <v>213</v>
      </c>
      <c r="R10" s="67">
        <f t="shared" si="0"/>
        <v>64.01083238312428</v>
      </c>
    </row>
    <row r="11" spans="1:18" ht="14.25">
      <c r="A11" s="73" t="s">
        <v>225</v>
      </c>
      <c r="B11" s="82" t="s">
        <v>169</v>
      </c>
      <c r="C11" s="83" t="s">
        <v>154</v>
      </c>
      <c r="D11" s="77"/>
      <c r="E11" s="3"/>
      <c r="F11" s="3"/>
      <c r="G11" s="3"/>
      <c r="H11" s="2"/>
      <c r="I11" s="2"/>
      <c r="J11" s="2"/>
      <c r="K11" s="2"/>
      <c r="L11" s="2"/>
      <c r="M11" s="8"/>
      <c r="N11" s="2"/>
      <c r="O11" s="2"/>
      <c r="P11" s="8">
        <f>100-(64.4-35.08)/35.08*50</f>
        <v>58.209806157354606</v>
      </c>
      <c r="Q11" s="63" t="s">
        <v>213</v>
      </c>
      <c r="R11" s="67">
        <f t="shared" si="0"/>
        <v>58.209806157354606</v>
      </c>
    </row>
    <row r="12" spans="1:18" ht="14.25">
      <c r="A12" s="73" t="s">
        <v>226</v>
      </c>
      <c r="B12" s="82" t="s">
        <v>175</v>
      </c>
      <c r="C12" s="83" t="s">
        <v>154</v>
      </c>
      <c r="D12" s="77"/>
      <c r="E12" s="3"/>
      <c r="F12" s="3"/>
      <c r="G12" s="3"/>
      <c r="H12" s="2"/>
      <c r="I12" s="2"/>
      <c r="J12" s="2"/>
      <c r="K12" s="2"/>
      <c r="L12" s="11"/>
      <c r="M12" s="11"/>
      <c r="N12" s="2"/>
      <c r="O12" s="2"/>
      <c r="P12" s="8">
        <f>100-(94.02-35.08)/35.08*50</f>
        <v>15.992018244013678</v>
      </c>
      <c r="Q12" s="56">
        <f>100-(55.37-23.57)/23.57*50</f>
        <v>32.54136614340264</v>
      </c>
      <c r="R12" s="67">
        <f t="shared" si="0"/>
        <v>48.53338438741632</v>
      </c>
    </row>
    <row r="13" spans="1:18" ht="14.25">
      <c r="A13" s="73" t="s">
        <v>227</v>
      </c>
      <c r="B13" s="82" t="s">
        <v>177</v>
      </c>
      <c r="C13" s="83" t="s">
        <v>154</v>
      </c>
      <c r="D13" s="77"/>
      <c r="E13" s="3"/>
      <c r="F13" s="3"/>
      <c r="G13" s="3"/>
      <c r="H13" s="2"/>
      <c r="I13" s="2"/>
      <c r="J13" s="2"/>
      <c r="K13" s="2"/>
      <c r="L13" s="11"/>
      <c r="M13" s="11"/>
      <c r="N13" s="2"/>
      <c r="O13" s="2"/>
      <c r="P13" s="8">
        <f>100-(94.17-35.08)/35.08*50</f>
        <v>15.778221208665897</v>
      </c>
      <c r="Q13" s="56">
        <f>100-(56.62-23.57)/23.57*50</f>
        <v>29.889690284259657</v>
      </c>
      <c r="R13" s="67">
        <f t="shared" si="0"/>
        <v>45.667911492925555</v>
      </c>
    </row>
    <row r="14" spans="1:18" ht="14.25">
      <c r="A14" s="73" t="s">
        <v>228</v>
      </c>
      <c r="B14" s="82" t="s">
        <v>171</v>
      </c>
      <c r="C14" s="83" t="s">
        <v>154</v>
      </c>
      <c r="D14" s="77"/>
      <c r="E14" s="3"/>
      <c r="F14" s="3"/>
      <c r="G14" s="3"/>
      <c r="H14" s="2"/>
      <c r="I14" s="2"/>
      <c r="J14" s="2"/>
      <c r="K14" s="2"/>
      <c r="L14" s="2"/>
      <c r="M14" s="2"/>
      <c r="N14" s="2"/>
      <c r="O14" s="8"/>
      <c r="P14" s="8">
        <f>100-(76.67-35.08)/35.08*50</f>
        <v>40.721208665906495</v>
      </c>
      <c r="Q14" s="63" t="s">
        <v>213</v>
      </c>
      <c r="R14" s="67">
        <f t="shared" si="0"/>
        <v>40.721208665906495</v>
      </c>
    </row>
    <row r="15" spans="1:18" ht="14.25">
      <c r="A15" s="73" t="s">
        <v>229</v>
      </c>
      <c r="B15" s="82" t="s">
        <v>172</v>
      </c>
      <c r="C15" s="83" t="s">
        <v>154</v>
      </c>
      <c r="D15" s="77"/>
      <c r="E15" s="3"/>
      <c r="F15" s="3"/>
      <c r="G15" s="3"/>
      <c r="H15" s="2"/>
      <c r="I15" s="2"/>
      <c r="J15" s="2"/>
      <c r="K15" s="2"/>
      <c r="L15" s="11"/>
      <c r="M15" s="11"/>
      <c r="N15" s="2"/>
      <c r="O15" s="2"/>
      <c r="P15" s="8">
        <f>100-(76.93-35.08)/35.08*50</f>
        <v>40.35062713797034</v>
      </c>
      <c r="Q15" s="63" t="s">
        <v>213</v>
      </c>
      <c r="R15" s="67">
        <f t="shared" si="0"/>
        <v>40.35062713797034</v>
      </c>
    </row>
    <row r="16" spans="1:18" ht="14.25">
      <c r="A16" s="73" t="s">
        <v>230</v>
      </c>
      <c r="B16" s="82" t="s">
        <v>173</v>
      </c>
      <c r="C16" s="83" t="s">
        <v>154</v>
      </c>
      <c r="D16" s="77"/>
      <c r="E16" s="3"/>
      <c r="F16" s="3"/>
      <c r="G16" s="3"/>
      <c r="H16" s="2"/>
      <c r="I16" s="2"/>
      <c r="J16" s="2"/>
      <c r="K16" s="2"/>
      <c r="L16" s="11"/>
      <c r="M16" s="11"/>
      <c r="N16" s="2"/>
      <c r="O16" s="2"/>
      <c r="P16" s="8">
        <f>100-(76.97-35.08)/35.08*50</f>
        <v>40.29361459521095</v>
      </c>
      <c r="Q16" s="63" t="s">
        <v>213</v>
      </c>
      <c r="R16" s="67">
        <f t="shared" si="0"/>
        <v>40.29361459521095</v>
      </c>
    </row>
    <row r="17" spans="1:18" ht="14.25">
      <c r="A17" s="73" t="s">
        <v>231</v>
      </c>
      <c r="B17" s="82" t="s">
        <v>183</v>
      </c>
      <c r="C17" s="83" t="s">
        <v>154</v>
      </c>
      <c r="D17" s="77"/>
      <c r="E17" s="3"/>
      <c r="F17" s="3"/>
      <c r="G17" s="3"/>
      <c r="H17" s="2"/>
      <c r="I17" s="2"/>
      <c r="J17" s="2"/>
      <c r="K17" s="2"/>
      <c r="L17" s="11"/>
      <c r="M17" s="11"/>
      <c r="N17" s="2"/>
      <c r="O17" s="2"/>
      <c r="P17" s="13" t="s">
        <v>213</v>
      </c>
      <c r="Q17" s="56">
        <f>100-(59.7-23.57)/23.57*50</f>
        <v>23.35596096733134</v>
      </c>
      <c r="R17" s="67">
        <f t="shared" si="0"/>
        <v>23.35596096733134</v>
      </c>
    </row>
    <row r="18" spans="1:18" ht="14.25">
      <c r="A18" s="73" t="s">
        <v>232</v>
      </c>
      <c r="B18" s="82" t="s">
        <v>174</v>
      </c>
      <c r="C18" s="83" t="s">
        <v>154</v>
      </c>
      <c r="D18" s="77"/>
      <c r="E18" s="3"/>
      <c r="F18" s="3"/>
      <c r="G18" s="3"/>
      <c r="H18" s="2"/>
      <c r="I18" s="2"/>
      <c r="J18" s="2"/>
      <c r="K18" s="2"/>
      <c r="L18" s="11"/>
      <c r="M18" s="11"/>
      <c r="N18" s="2"/>
      <c r="O18" s="2"/>
      <c r="P18" s="8">
        <f>100-(90.95-35.08)/35.08*50</f>
        <v>20.367730900798165</v>
      </c>
      <c r="Q18" s="63" t="s">
        <v>213</v>
      </c>
      <c r="R18" s="67">
        <f t="shared" si="0"/>
        <v>20.367730900798165</v>
      </c>
    </row>
    <row r="19" spans="1:18" ht="14.25">
      <c r="A19" s="73" t="s">
        <v>233</v>
      </c>
      <c r="B19" s="82" t="s">
        <v>176</v>
      </c>
      <c r="C19" s="83" t="s">
        <v>154</v>
      </c>
      <c r="D19" s="77"/>
      <c r="E19" s="3"/>
      <c r="F19" s="3"/>
      <c r="G19" s="3"/>
      <c r="H19" s="2"/>
      <c r="I19" s="2"/>
      <c r="J19" s="2"/>
      <c r="K19" s="2"/>
      <c r="L19" s="11"/>
      <c r="M19" s="11"/>
      <c r="N19" s="2"/>
      <c r="O19" s="2"/>
      <c r="P19" s="8">
        <f>100-(94.13-35.08)/35.08*50</f>
        <v>15.83523375142532</v>
      </c>
      <c r="Q19" s="63" t="s">
        <v>213</v>
      </c>
      <c r="R19" s="67">
        <f t="shared" si="0"/>
        <v>15.83523375142532</v>
      </c>
    </row>
    <row r="20" spans="1:18" ht="14.25">
      <c r="A20" s="73" t="s">
        <v>234</v>
      </c>
      <c r="B20" s="82" t="s">
        <v>178</v>
      </c>
      <c r="C20" s="83" t="s">
        <v>154</v>
      </c>
      <c r="D20" s="77"/>
      <c r="E20" s="3"/>
      <c r="F20" s="3"/>
      <c r="G20" s="3"/>
      <c r="H20" s="2"/>
      <c r="I20" s="2"/>
      <c r="J20" s="2"/>
      <c r="K20" s="2"/>
      <c r="L20" s="11"/>
      <c r="M20" s="11"/>
      <c r="N20" s="2"/>
      <c r="O20" s="2"/>
      <c r="P20" s="8">
        <f>100-(94.27-35.08)/35.08*50</f>
        <v>15.635689851767381</v>
      </c>
      <c r="Q20" s="63" t="s">
        <v>213</v>
      </c>
      <c r="R20" s="67">
        <f t="shared" si="0"/>
        <v>15.635689851767381</v>
      </c>
    </row>
    <row r="21" spans="1:18" ht="14.25">
      <c r="A21" s="73" t="s">
        <v>235</v>
      </c>
      <c r="B21" s="82" t="s">
        <v>179</v>
      </c>
      <c r="C21" s="83" t="s">
        <v>154</v>
      </c>
      <c r="D21" s="77"/>
      <c r="E21" s="3"/>
      <c r="F21" s="3"/>
      <c r="G21" s="3"/>
      <c r="H21" s="2"/>
      <c r="I21" s="2"/>
      <c r="J21" s="2"/>
      <c r="K21" s="2"/>
      <c r="L21" s="11"/>
      <c r="M21" s="11"/>
      <c r="N21" s="2"/>
      <c r="O21" s="2"/>
      <c r="P21" s="8">
        <f>100-(97.08-35.08)/35.08*50</f>
        <v>11.630558722919034</v>
      </c>
      <c r="Q21" s="63" t="s">
        <v>213</v>
      </c>
      <c r="R21" s="67">
        <f t="shared" si="0"/>
        <v>11.630558722919034</v>
      </c>
    </row>
    <row r="22" spans="1:18" ht="14.25">
      <c r="A22" s="73" t="s">
        <v>236</v>
      </c>
      <c r="B22" s="82" t="s">
        <v>180</v>
      </c>
      <c r="C22" s="83" t="s">
        <v>154</v>
      </c>
      <c r="D22" s="77"/>
      <c r="E22" s="3"/>
      <c r="F22" s="3"/>
      <c r="G22" s="3"/>
      <c r="H22" s="2"/>
      <c r="I22" s="2"/>
      <c r="J22" s="2"/>
      <c r="K22" s="2"/>
      <c r="L22" s="11"/>
      <c r="M22" s="11"/>
      <c r="N22" s="2"/>
      <c r="O22" s="2"/>
      <c r="P22" s="13" t="s">
        <v>213</v>
      </c>
      <c r="Q22" s="63" t="s">
        <v>213</v>
      </c>
      <c r="R22" s="67">
        <f t="shared" si="0"/>
        <v>0</v>
      </c>
    </row>
    <row r="23" spans="1:18" ht="14.25">
      <c r="A23" s="73" t="s">
        <v>237</v>
      </c>
      <c r="B23" s="82" t="s">
        <v>181</v>
      </c>
      <c r="C23" s="83" t="s">
        <v>154</v>
      </c>
      <c r="D23" s="77"/>
      <c r="E23" s="3"/>
      <c r="F23" s="3"/>
      <c r="G23" s="3"/>
      <c r="H23" s="2"/>
      <c r="I23" s="2"/>
      <c r="J23" s="2"/>
      <c r="K23" s="2"/>
      <c r="L23" s="11"/>
      <c r="M23" s="11"/>
      <c r="N23" s="2"/>
      <c r="O23" s="2"/>
      <c r="P23" s="13" t="s">
        <v>213</v>
      </c>
      <c r="Q23" s="63" t="s">
        <v>213</v>
      </c>
      <c r="R23" s="67">
        <f t="shared" si="0"/>
        <v>0</v>
      </c>
    </row>
    <row r="24" spans="1:18" ht="14.25">
      <c r="A24" s="73" t="s">
        <v>238</v>
      </c>
      <c r="B24" s="82" t="s">
        <v>182</v>
      </c>
      <c r="C24" s="83" t="s">
        <v>154</v>
      </c>
      <c r="D24" s="77"/>
      <c r="E24" s="3"/>
      <c r="F24" s="3"/>
      <c r="G24" s="3"/>
      <c r="H24" s="2"/>
      <c r="I24" s="2"/>
      <c r="J24" s="2"/>
      <c r="K24" s="2"/>
      <c r="L24" s="11"/>
      <c r="M24" s="11"/>
      <c r="N24" s="2"/>
      <c r="O24" s="2"/>
      <c r="P24" s="13" t="s">
        <v>213</v>
      </c>
      <c r="Q24" s="63" t="s">
        <v>213</v>
      </c>
      <c r="R24" s="67">
        <f t="shared" si="0"/>
        <v>0</v>
      </c>
    </row>
    <row r="25" spans="1:18" ht="15" thickBot="1">
      <c r="A25" s="74" t="s">
        <v>239</v>
      </c>
      <c r="B25" s="84" t="s">
        <v>185</v>
      </c>
      <c r="C25" s="85" t="s">
        <v>154</v>
      </c>
      <c r="D25" s="78"/>
      <c r="E25" s="59"/>
      <c r="F25" s="59"/>
      <c r="G25" s="59"/>
      <c r="H25" s="40"/>
      <c r="I25" s="40"/>
      <c r="J25" s="40"/>
      <c r="K25" s="40"/>
      <c r="L25" s="60"/>
      <c r="M25" s="60"/>
      <c r="N25" s="40"/>
      <c r="O25" s="40"/>
      <c r="P25" s="42" t="s">
        <v>213</v>
      </c>
      <c r="Q25" s="64" t="s">
        <v>213</v>
      </c>
      <c r="R25" s="68">
        <f t="shared" si="0"/>
        <v>0</v>
      </c>
    </row>
    <row r="26" spans="1:28" s="24" customFormat="1" ht="14.25">
      <c r="A26" s="58"/>
      <c r="B26" s="18"/>
      <c r="C26" s="18"/>
      <c r="D26" s="23"/>
      <c r="E26" s="23"/>
      <c r="F26" s="23"/>
      <c r="G26" s="23"/>
      <c r="H26" s="18"/>
      <c r="I26" s="18"/>
      <c r="J26" s="18"/>
      <c r="K26" s="18"/>
      <c r="L26" s="30"/>
      <c r="M26" s="30"/>
      <c r="N26" s="18"/>
      <c r="O26" s="18"/>
      <c r="P26" s="30"/>
      <c r="Q26" s="30"/>
      <c r="R26" s="22"/>
      <c r="S26" s="18"/>
      <c r="T26" s="18"/>
      <c r="U26" s="18"/>
      <c r="V26" s="18"/>
      <c r="W26" s="18"/>
      <c r="X26" s="18"/>
      <c r="Y26" s="18"/>
      <c r="Z26" s="18"/>
      <c r="AA26" s="18"/>
      <c r="AB26" s="18"/>
    </row>
    <row r="27" spans="1:18" s="18" customFormat="1" ht="14.25">
      <c r="A27" s="58"/>
      <c r="D27" s="23"/>
      <c r="E27" s="23"/>
      <c r="F27" s="23"/>
      <c r="G27" s="23"/>
      <c r="L27" s="30"/>
      <c r="M27" s="30"/>
      <c r="P27" s="30"/>
      <c r="Q27" s="30"/>
      <c r="R27" s="22"/>
    </row>
    <row r="28" spans="2:26" s="2" customFormat="1" ht="14.25">
      <c r="B28" s="2" t="s">
        <v>184</v>
      </c>
      <c r="C28" s="2" t="s">
        <v>61</v>
      </c>
      <c r="D28" s="3"/>
      <c r="E28" s="3"/>
      <c r="F28" s="3"/>
      <c r="G28" s="3"/>
      <c r="L28" s="11"/>
      <c r="M28" s="11"/>
      <c r="P28" s="8">
        <f>100-(84.92-35.08)/35.08*50</f>
        <v>28.96237172177878</v>
      </c>
      <c r="Q28" s="8">
        <f>100-(32.27-23.57)/23.57*50</f>
        <v>81.54433602036487</v>
      </c>
      <c r="R28" s="14">
        <f>SUM(D28:Q28)</f>
        <v>110.50670774214365</v>
      </c>
      <c r="S28" s="18"/>
      <c r="T28" s="18"/>
      <c r="U28" s="18"/>
      <c r="V28" s="18"/>
      <c r="W28" s="18"/>
      <c r="X28" s="18"/>
      <c r="Y28" s="18"/>
      <c r="Z28" s="35"/>
    </row>
    <row r="29" spans="4:18" s="18" customFormat="1" ht="14.25">
      <c r="D29" s="23"/>
      <c r="E29" s="23"/>
      <c r="F29" s="23"/>
      <c r="G29" s="23"/>
      <c r="R29" s="19"/>
    </row>
    <row r="30" s="32" customFormat="1" ht="14.25">
      <c r="A30" s="32" t="s">
        <v>212</v>
      </c>
    </row>
    <row r="31" s="33" customFormat="1" ht="14.25">
      <c r="A31" s="33" t="s">
        <v>124</v>
      </c>
    </row>
    <row r="32" s="32" customFormat="1" ht="14.25">
      <c r="A32" s="32" t="s">
        <v>214</v>
      </c>
    </row>
  </sheetData>
  <mergeCells count="1">
    <mergeCell ref="A1:R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6"/>
  <sheetViews>
    <sheetView zoomScalePageLayoutView="0" workbookViewId="0" topLeftCell="A1">
      <selection activeCell="H17" sqref="H17"/>
    </sheetView>
  </sheetViews>
  <sheetFormatPr defaultColWidth="9.140625" defaultRowHeight="15"/>
  <cols>
    <col min="1" max="1" width="5.00390625" style="1" customWidth="1"/>
    <col min="2" max="2" width="20.8515625" style="1" customWidth="1"/>
    <col min="3" max="3" width="9.00390625" style="1" customWidth="1"/>
    <col min="4" max="7" width="9.140625" style="6" customWidth="1"/>
    <col min="8" max="18" width="9.140625" style="1" customWidth="1"/>
    <col min="19" max="30" width="9.00390625" style="18" customWidth="1"/>
    <col min="31" max="16384" width="9.00390625" style="1" customWidth="1"/>
  </cols>
  <sheetData>
    <row r="1" spans="1:20" ht="28.5" customHeight="1" thickBot="1">
      <c r="A1" s="116" t="s">
        <v>40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8"/>
      <c r="S1" s="36"/>
      <c r="T1" s="36"/>
    </row>
    <row r="2" spans="1:20" ht="150" thickBot="1">
      <c r="A2" s="71" t="s">
        <v>215</v>
      </c>
      <c r="B2" s="50" t="s">
        <v>216</v>
      </c>
      <c r="C2" s="79" t="s">
        <v>0</v>
      </c>
      <c r="D2" s="75" t="s">
        <v>62</v>
      </c>
      <c r="E2" s="52" t="s">
        <v>63</v>
      </c>
      <c r="F2" s="52" t="s">
        <v>45</v>
      </c>
      <c r="G2" s="52" t="s">
        <v>46</v>
      </c>
      <c r="H2" s="52" t="s">
        <v>47</v>
      </c>
      <c r="I2" s="52" t="s">
        <v>48</v>
      </c>
      <c r="J2" s="52" t="s">
        <v>64</v>
      </c>
      <c r="K2" s="52" t="s">
        <v>65</v>
      </c>
      <c r="L2" s="52" t="s">
        <v>66</v>
      </c>
      <c r="M2" s="52" t="s">
        <v>67</v>
      </c>
      <c r="N2" s="52" t="s">
        <v>74</v>
      </c>
      <c r="O2" s="52" t="s">
        <v>75</v>
      </c>
      <c r="P2" s="52" t="s">
        <v>68</v>
      </c>
      <c r="Q2" s="61" t="s">
        <v>69</v>
      </c>
      <c r="R2" s="65" t="s">
        <v>1</v>
      </c>
      <c r="S2" s="34"/>
      <c r="T2" s="34"/>
    </row>
    <row r="3" spans="1:18" ht="14.25">
      <c r="A3" s="72" t="s">
        <v>217</v>
      </c>
      <c r="B3" s="80" t="s">
        <v>95</v>
      </c>
      <c r="C3" s="81" t="s">
        <v>10</v>
      </c>
      <c r="D3" s="76"/>
      <c r="E3" s="16"/>
      <c r="F3" s="16"/>
      <c r="G3" s="16"/>
      <c r="H3" s="15"/>
      <c r="I3" s="15"/>
      <c r="J3" s="15"/>
      <c r="K3" s="15"/>
      <c r="L3" s="17">
        <f>100-(31.97-31.13)/31.13*50</f>
        <v>98.6508191455188</v>
      </c>
      <c r="M3" s="17">
        <f>100-(117.8-75.55)/75.55*50</f>
        <v>72.03838517538054</v>
      </c>
      <c r="N3" s="17">
        <f>100-(45.95-28.25)/28.25*50</f>
        <v>68.67256637168141</v>
      </c>
      <c r="O3" s="15"/>
      <c r="P3" s="15"/>
      <c r="Q3" s="31"/>
      <c r="R3" s="66">
        <f aca="true" t="shared" si="0" ref="R3:R32">SUM(D3:Q3)</f>
        <v>239.36177069258076</v>
      </c>
    </row>
    <row r="4" spans="1:18" ht="14.25">
      <c r="A4" s="73" t="s">
        <v>218</v>
      </c>
      <c r="B4" s="82" t="s">
        <v>94</v>
      </c>
      <c r="C4" s="83" t="s">
        <v>6</v>
      </c>
      <c r="D4" s="77"/>
      <c r="E4" s="3"/>
      <c r="F4" s="3"/>
      <c r="G4" s="3"/>
      <c r="H4" s="2"/>
      <c r="I4" s="2"/>
      <c r="J4" s="2"/>
      <c r="K4" s="2"/>
      <c r="L4" s="8">
        <f>100-(31.13-31.13)/31.13*50</f>
        <v>100</v>
      </c>
      <c r="M4" s="2"/>
      <c r="N4" s="2"/>
      <c r="O4" s="2"/>
      <c r="P4" s="2"/>
      <c r="Q4" s="56">
        <f>100-(32.72-32.72)/32.72*50</f>
        <v>100</v>
      </c>
      <c r="R4" s="67">
        <f t="shared" si="0"/>
        <v>200</v>
      </c>
    </row>
    <row r="5" spans="1:18" ht="14.25">
      <c r="A5" s="73" t="s">
        <v>219</v>
      </c>
      <c r="B5" s="82" t="s">
        <v>115</v>
      </c>
      <c r="C5" s="83" t="s">
        <v>84</v>
      </c>
      <c r="D5" s="77"/>
      <c r="E5" s="3"/>
      <c r="F5" s="3"/>
      <c r="G5" s="3"/>
      <c r="H5" s="2"/>
      <c r="I5" s="2"/>
      <c r="J5" s="2"/>
      <c r="K5" s="2"/>
      <c r="L5" s="2"/>
      <c r="M5" s="8">
        <f>100-(76.78-75.55)/75.55*50</f>
        <v>99.18596955658504</v>
      </c>
      <c r="N5" s="8">
        <f>100-(28.25-28.25)/28.25*50</f>
        <v>100</v>
      </c>
      <c r="O5" s="2"/>
      <c r="P5" s="2"/>
      <c r="Q5" s="57"/>
      <c r="R5" s="67">
        <f t="shared" si="0"/>
        <v>199.18596955658504</v>
      </c>
    </row>
    <row r="6" spans="1:18" ht="14.25">
      <c r="A6" s="73" t="s">
        <v>220</v>
      </c>
      <c r="B6" s="82" t="s">
        <v>96</v>
      </c>
      <c r="C6" s="83" t="s">
        <v>98</v>
      </c>
      <c r="D6" s="77"/>
      <c r="E6" s="3"/>
      <c r="F6" s="3"/>
      <c r="G6" s="3"/>
      <c r="H6" s="2"/>
      <c r="I6" s="2"/>
      <c r="J6" s="2"/>
      <c r="K6" s="2"/>
      <c r="L6" s="8">
        <f>100-(49.05-31.13)/31.13*50</f>
        <v>71.2174751044009</v>
      </c>
      <c r="M6" s="8">
        <f>100-(149.8-75.55)/75.55*50</f>
        <v>50.86035737921905</v>
      </c>
      <c r="N6" s="2"/>
      <c r="O6" s="2"/>
      <c r="P6" s="2"/>
      <c r="Q6" s="57"/>
      <c r="R6" s="67">
        <f t="shared" si="0"/>
        <v>122.07783248361996</v>
      </c>
    </row>
    <row r="7" spans="1:18" ht="14.25">
      <c r="A7" s="73" t="s">
        <v>221</v>
      </c>
      <c r="B7" s="82" t="s">
        <v>113</v>
      </c>
      <c r="C7" s="83" t="s">
        <v>114</v>
      </c>
      <c r="D7" s="77"/>
      <c r="E7" s="3"/>
      <c r="F7" s="3"/>
      <c r="G7" s="3"/>
      <c r="H7" s="2"/>
      <c r="I7" s="2"/>
      <c r="J7" s="2"/>
      <c r="K7" s="2"/>
      <c r="L7" s="2"/>
      <c r="M7" s="8">
        <f>100-(75.55-75.55)/75.55*50</f>
        <v>100</v>
      </c>
      <c r="N7" s="2"/>
      <c r="O7" s="2"/>
      <c r="P7" s="2"/>
      <c r="Q7" s="57"/>
      <c r="R7" s="67">
        <f t="shared" si="0"/>
        <v>100</v>
      </c>
    </row>
    <row r="8" spans="1:18" ht="14.25">
      <c r="A8" s="73" t="s">
        <v>222</v>
      </c>
      <c r="B8" s="82" t="s">
        <v>147</v>
      </c>
      <c r="C8" s="83" t="s">
        <v>58</v>
      </c>
      <c r="D8" s="77"/>
      <c r="E8" s="3"/>
      <c r="F8" s="3"/>
      <c r="G8" s="3"/>
      <c r="H8" s="2"/>
      <c r="I8" s="2"/>
      <c r="J8" s="2"/>
      <c r="K8" s="2"/>
      <c r="L8" s="2"/>
      <c r="M8" s="2"/>
      <c r="N8" s="2"/>
      <c r="O8" s="8">
        <f>100-(41.27-41.27)/41.27*50</f>
        <v>100</v>
      </c>
      <c r="P8" s="2"/>
      <c r="Q8" s="57"/>
      <c r="R8" s="67">
        <f t="shared" si="0"/>
        <v>100</v>
      </c>
    </row>
    <row r="9" spans="1:18" ht="14.25">
      <c r="A9" s="73" t="s">
        <v>223</v>
      </c>
      <c r="B9" s="82" t="s">
        <v>148</v>
      </c>
      <c r="C9" s="83" t="s">
        <v>58</v>
      </c>
      <c r="D9" s="77"/>
      <c r="E9" s="3"/>
      <c r="F9" s="3"/>
      <c r="G9" s="3"/>
      <c r="H9" s="2"/>
      <c r="I9" s="2"/>
      <c r="J9" s="2"/>
      <c r="K9" s="2"/>
      <c r="L9" s="2"/>
      <c r="M9" s="2"/>
      <c r="N9" s="2"/>
      <c r="O9" s="8">
        <f>100-(42.53-41.27)/41.27*50</f>
        <v>98.47346740974073</v>
      </c>
      <c r="P9" s="2"/>
      <c r="Q9" s="57"/>
      <c r="R9" s="67">
        <f t="shared" si="0"/>
        <v>98.47346740974073</v>
      </c>
    </row>
    <row r="10" spans="1:18" ht="14.25">
      <c r="A10" s="73" t="s">
        <v>224</v>
      </c>
      <c r="B10" s="82" t="s">
        <v>116</v>
      </c>
      <c r="C10" s="83" t="s">
        <v>12</v>
      </c>
      <c r="D10" s="77"/>
      <c r="E10" s="3"/>
      <c r="F10" s="3"/>
      <c r="G10" s="3"/>
      <c r="H10" s="2"/>
      <c r="I10" s="2"/>
      <c r="J10" s="2"/>
      <c r="K10" s="2"/>
      <c r="L10" s="2"/>
      <c r="M10" s="8">
        <f>100-(99.75-75.55)/75.55*50</f>
        <v>83.98411647915287</v>
      </c>
      <c r="N10" s="2"/>
      <c r="O10" s="2"/>
      <c r="P10" s="2"/>
      <c r="Q10" s="57"/>
      <c r="R10" s="67">
        <f t="shared" si="0"/>
        <v>83.98411647915287</v>
      </c>
    </row>
    <row r="11" spans="1:18" ht="14.25">
      <c r="A11" s="73" t="s">
        <v>225</v>
      </c>
      <c r="B11" s="82" t="s">
        <v>193</v>
      </c>
      <c r="C11" s="83" t="s">
        <v>154</v>
      </c>
      <c r="D11" s="77"/>
      <c r="E11" s="3"/>
      <c r="F11" s="3"/>
      <c r="G11" s="3"/>
      <c r="H11" s="2"/>
      <c r="I11" s="2"/>
      <c r="J11" s="2"/>
      <c r="K11" s="2"/>
      <c r="L11" s="11"/>
      <c r="M11" s="11"/>
      <c r="N11" s="2"/>
      <c r="O11" s="2"/>
      <c r="P11" s="13" t="s">
        <v>213</v>
      </c>
      <c r="Q11" s="56">
        <f>100-(47.05-32.72)/32.72*50</f>
        <v>78.1020782396088</v>
      </c>
      <c r="R11" s="67">
        <f t="shared" si="0"/>
        <v>78.1020782396088</v>
      </c>
    </row>
    <row r="12" spans="1:18" ht="14.25">
      <c r="A12" s="73" t="s">
        <v>226</v>
      </c>
      <c r="B12" s="82" t="s">
        <v>194</v>
      </c>
      <c r="C12" s="83" t="s">
        <v>154</v>
      </c>
      <c r="D12" s="77"/>
      <c r="E12" s="3"/>
      <c r="F12" s="3"/>
      <c r="G12" s="3"/>
      <c r="H12" s="2"/>
      <c r="I12" s="2"/>
      <c r="J12" s="2"/>
      <c r="K12" s="2"/>
      <c r="L12" s="11"/>
      <c r="M12" s="11"/>
      <c r="N12" s="2"/>
      <c r="O12" s="2"/>
      <c r="P12" s="13" t="s">
        <v>213</v>
      </c>
      <c r="Q12" s="56">
        <f>100-(47.17-32.72)/32.72*50</f>
        <v>77.91870415647921</v>
      </c>
      <c r="R12" s="67">
        <f t="shared" si="0"/>
        <v>77.91870415647921</v>
      </c>
    </row>
    <row r="13" spans="1:18" ht="14.25">
      <c r="A13" s="73" t="s">
        <v>227</v>
      </c>
      <c r="B13" s="82" t="s">
        <v>195</v>
      </c>
      <c r="C13" s="83" t="s">
        <v>154</v>
      </c>
      <c r="D13" s="77"/>
      <c r="E13" s="3"/>
      <c r="F13" s="3"/>
      <c r="G13" s="3"/>
      <c r="H13" s="2"/>
      <c r="I13" s="2"/>
      <c r="J13" s="2"/>
      <c r="K13" s="2"/>
      <c r="L13" s="11"/>
      <c r="M13" s="11"/>
      <c r="N13" s="2"/>
      <c r="O13" s="2"/>
      <c r="P13" s="13" t="s">
        <v>213</v>
      </c>
      <c r="Q13" s="56">
        <f>100-(47.68-32.72)/32.72*50</f>
        <v>77.13936430317848</v>
      </c>
      <c r="R13" s="67">
        <f t="shared" si="0"/>
        <v>77.13936430317848</v>
      </c>
    </row>
    <row r="14" spans="1:18" ht="14.25">
      <c r="A14" s="73" t="s">
        <v>228</v>
      </c>
      <c r="B14" s="82" t="s">
        <v>151</v>
      </c>
      <c r="C14" s="83" t="s">
        <v>84</v>
      </c>
      <c r="D14" s="77"/>
      <c r="E14" s="3"/>
      <c r="F14" s="3"/>
      <c r="G14" s="3"/>
      <c r="H14" s="2"/>
      <c r="I14" s="2"/>
      <c r="J14" s="2"/>
      <c r="K14" s="2"/>
      <c r="L14" s="2"/>
      <c r="M14" s="2"/>
      <c r="N14" s="2"/>
      <c r="O14" s="8">
        <f>100-(67.54-41.27)/41.27*50</f>
        <v>68.17300702689604</v>
      </c>
      <c r="P14" s="2"/>
      <c r="Q14" s="57"/>
      <c r="R14" s="67">
        <f t="shared" si="0"/>
        <v>68.17300702689604</v>
      </c>
    </row>
    <row r="15" spans="1:18" ht="14.25">
      <c r="A15" s="73" t="s">
        <v>229</v>
      </c>
      <c r="B15" s="82" t="s">
        <v>149</v>
      </c>
      <c r="C15" s="83" t="s">
        <v>150</v>
      </c>
      <c r="D15" s="77"/>
      <c r="E15" s="3"/>
      <c r="F15" s="3"/>
      <c r="G15" s="3"/>
      <c r="H15" s="2"/>
      <c r="I15" s="2"/>
      <c r="J15" s="2"/>
      <c r="K15" s="2"/>
      <c r="L15" s="2"/>
      <c r="M15" s="2"/>
      <c r="N15" s="2"/>
      <c r="O15" s="8">
        <f>100-(67.68-41.27)/41.27*50</f>
        <v>68.00339229464502</v>
      </c>
      <c r="P15" s="2"/>
      <c r="Q15" s="57"/>
      <c r="R15" s="67">
        <f t="shared" si="0"/>
        <v>68.00339229464502</v>
      </c>
    </row>
    <row r="16" spans="1:18" ht="14.25">
      <c r="A16" s="73" t="s">
        <v>230</v>
      </c>
      <c r="B16" s="82" t="s">
        <v>196</v>
      </c>
      <c r="C16" s="83" t="s">
        <v>192</v>
      </c>
      <c r="D16" s="77"/>
      <c r="E16" s="3"/>
      <c r="F16" s="3"/>
      <c r="G16" s="3"/>
      <c r="H16" s="2"/>
      <c r="I16" s="2"/>
      <c r="J16" s="2"/>
      <c r="K16" s="2"/>
      <c r="L16" s="11"/>
      <c r="M16" s="11"/>
      <c r="N16" s="2"/>
      <c r="O16" s="2"/>
      <c r="P16" s="11"/>
      <c r="Q16" s="56">
        <f>100-(58.85-32.72)/32.72*50</f>
        <v>60.070293398533</v>
      </c>
      <c r="R16" s="67">
        <f t="shared" si="0"/>
        <v>60.070293398533</v>
      </c>
    </row>
    <row r="17" spans="1:18" ht="14.25">
      <c r="A17" s="73" t="s">
        <v>231</v>
      </c>
      <c r="B17" s="82" t="s">
        <v>197</v>
      </c>
      <c r="C17" s="83" t="s">
        <v>154</v>
      </c>
      <c r="D17" s="77"/>
      <c r="E17" s="3"/>
      <c r="F17" s="3"/>
      <c r="G17" s="3"/>
      <c r="H17" s="2"/>
      <c r="I17" s="2"/>
      <c r="J17" s="2"/>
      <c r="K17" s="2"/>
      <c r="L17" s="11"/>
      <c r="M17" s="11"/>
      <c r="N17" s="2"/>
      <c r="O17" s="2"/>
      <c r="P17" s="13" t="s">
        <v>213</v>
      </c>
      <c r="Q17" s="56">
        <f>100-(70.15-32.72)/32.72*50</f>
        <v>42.8025672371638</v>
      </c>
      <c r="R17" s="67">
        <f t="shared" si="0"/>
        <v>42.8025672371638</v>
      </c>
    </row>
    <row r="18" spans="1:18" ht="14.25">
      <c r="A18" s="73" t="s">
        <v>232</v>
      </c>
      <c r="B18" s="82" t="s">
        <v>198</v>
      </c>
      <c r="C18" s="83" t="s">
        <v>154</v>
      </c>
      <c r="D18" s="77"/>
      <c r="E18" s="3"/>
      <c r="F18" s="3"/>
      <c r="G18" s="3"/>
      <c r="H18" s="2"/>
      <c r="I18" s="2"/>
      <c r="J18" s="2"/>
      <c r="K18" s="2"/>
      <c r="L18" s="11"/>
      <c r="M18" s="11"/>
      <c r="N18" s="2"/>
      <c r="O18" s="2"/>
      <c r="P18" s="13" t="s">
        <v>213</v>
      </c>
      <c r="Q18" s="56">
        <f>100-(70.18-32.72)/32.72*50</f>
        <v>42.75672371638141</v>
      </c>
      <c r="R18" s="67">
        <f t="shared" si="0"/>
        <v>42.75672371638141</v>
      </c>
    </row>
    <row r="19" spans="1:18" ht="14.25">
      <c r="A19" s="73" t="s">
        <v>233</v>
      </c>
      <c r="B19" s="82" t="s">
        <v>199</v>
      </c>
      <c r="C19" s="83" t="s">
        <v>154</v>
      </c>
      <c r="D19" s="77"/>
      <c r="E19" s="3"/>
      <c r="F19" s="3"/>
      <c r="G19" s="3"/>
      <c r="H19" s="2"/>
      <c r="I19" s="2"/>
      <c r="J19" s="2"/>
      <c r="K19" s="2"/>
      <c r="L19" s="11"/>
      <c r="M19" s="11"/>
      <c r="N19" s="2"/>
      <c r="O19" s="2"/>
      <c r="P19" s="13" t="s">
        <v>213</v>
      </c>
      <c r="Q19" s="56">
        <f>100-(70.87-32.72)/32.72*50</f>
        <v>41.7023227383863</v>
      </c>
      <c r="R19" s="67">
        <f t="shared" si="0"/>
        <v>41.7023227383863</v>
      </c>
    </row>
    <row r="20" spans="1:18" ht="14.25">
      <c r="A20" s="73" t="s">
        <v>234</v>
      </c>
      <c r="B20" s="82" t="s">
        <v>200</v>
      </c>
      <c r="C20" s="83" t="s">
        <v>154</v>
      </c>
      <c r="D20" s="77"/>
      <c r="E20" s="3"/>
      <c r="F20" s="3"/>
      <c r="G20" s="3"/>
      <c r="H20" s="2"/>
      <c r="I20" s="2"/>
      <c r="J20" s="2"/>
      <c r="K20" s="2"/>
      <c r="L20" s="11"/>
      <c r="M20" s="11"/>
      <c r="N20" s="2"/>
      <c r="O20" s="2"/>
      <c r="P20" s="13" t="s">
        <v>213</v>
      </c>
      <c r="Q20" s="56">
        <f>100-(84.9-32.72)/32.72*50</f>
        <v>20.262836185819054</v>
      </c>
      <c r="R20" s="67">
        <f t="shared" si="0"/>
        <v>20.262836185819054</v>
      </c>
    </row>
    <row r="21" spans="1:18" ht="14.25">
      <c r="A21" s="73" t="s">
        <v>235</v>
      </c>
      <c r="B21" s="82" t="s">
        <v>201</v>
      </c>
      <c r="C21" s="83" t="s">
        <v>154</v>
      </c>
      <c r="D21" s="77"/>
      <c r="E21" s="3"/>
      <c r="F21" s="3"/>
      <c r="G21" s="3"/>
      <c r="H21" s="2"/>
      <c r="I21" s="2"/>
      <c r="J21" s="2"/>
      <c r="K21" s="2"/>
      <c r="L21" s="11"/>
      <c r="M21" s="11"/>
      <c r="N21" s="2"/>
      <c r="O21" s="2"/>
      <c r="P21" s="13" t="s">
        <v>213</v>
      </c>
      <c r="Q21" s="56">
        <f>100-(85.05-32.72)/32.72*50</f>
        <v>20.033618581907092</v>
      </c>
      <c r="R21" s="67">
        <f t="shared" si="0"/>
        <v>20.033618581907092</v>
      </c>
    </row>
    <row r="22" spans="1:18" ht="14.25">
      <c r="A22" s="73" t="s">
        <v>236</v>
      </c>
      <c r="B22" s="82" t="s">
        <v>202</v>
      </c>
      <c r="C22" s="83" t="s">
        <v>154</v>
      </c>
      <c r="D22" s="77"/>
      <c r="E22" s="3"/>
      <c r="F22" s="3"/>
      <c r="G22" s="3"/>
      <c r="H22" s="2"/>
      <c r="I22" s="2"/>
      <c r="J22" s="2"/>
      <c r="K22" s="2"/>
      <c r="L22" s="11"/>
      <c r="M22" s="11"/>
      <c r="N22" s="2"/>
      <c r="O22" s="2"/>
      <c r="P22" s="13" t="s">
        <v>213</v>
      </c>
      <c r="Q22" s="56">
        <f>100-(85.08-32.72)/32.72*50</f>
        <v>19.987775061124694</v>
      </c>
      <c r="R22" s="67">
        <f t="shared" si="0"/>
        <v>19.987775061124694</v>
      </c>
    </row>
    <row r="23" spans="1:18" ht="14.25">
      <c r="A23" s="73" t="s">
        <v>237</v>
      </c>
      <c r="B23" s="82" t="s">
        <v>203</v>
      </c>
      <c r="C23" s="83" t="s">
        <v>154</v>
      </c>
      <c r="D23" s="77"/>
      <c r="E23" s="3"/>
      <c r="F23" s="3"/>
      <c r="G23" s="3"/>
      <c r="H23" s="2"/>
      <c r="I23" s="2"/>
      <c r="J23" s="2"/>
      <c r="K23" s="2"/>
      <c r="L23" s="11"/>
      <c r="M23" s="11"/>
      <c r="N23" s="2"/>
      <c r="O23" s="2"/>
      <c r="P23" s="13" t="s">
        <v>213</v>
      </c>
      <c r="Q23" s="56">
        <f>100-(85.1-32.72)/32.72*50</f>
        <v>19.95721271393643</v>
      </c>
      <c r="R23" s="67">
        <f t="shared" si="0"/>
        <v>19.95721271393643</v>
      </c>
    </row>
    <row r="24" spans="1:18" ht="14.25">
      <c r="A24" s="73" t="s">
        <v>238</v>
      </c>
      <c r="B24" s="82" t="s">
        <v>162</v>
      </c>
      <c r="C24" s="83" t="s">
        <v>154</v>
      </c>
      <c r="D24" s="77"/>
      <c r="E24" s="3"/>
      <c r="F24" s="3"/>
      <c r="G24" s="3"/>
      <c r="H24" s="2"/>
      <c r="I24" s="2"/>
      <c r="J24" s="2"/>
      <c r="K24" s="2"/>
      <c r="L24" s="11"/>
      <c r="M24" s="11"/>
      <c r="N24" s="2"/>
      <c r="O24" s="2"/>
      <c r="P24" s="13" t="s">
        <v>213</v>
      </c>
      <c r="Q24" s="56">
        <f>100-(85.68-32.72)/32.72*50</f>
        <v>19.07090464547676</v>
      </c>
      <c r="R24" s="67">
        <f t="shared" si="0"/>
        <v>19.07090464547676</v>
      </c>
    </row>
    <row r="25" spans="1:18" ht="14.25">
      <c r="A25" s="73" t="s">
        <v>239</v>
      </c>
      <c r="B25" s="82" t="s">
        <v>97</v>
      </c>
      <c r="C25" s="83" t="s">
        <v>98</v>
      </c>
      <c r="D25" s="77"/>
      <c r="E25" s="3"/>
      <c r="F25" s="3"/>
      <c r="G25" s="3"/>
      <c r="H25" s="2"/>
      <c r="I25" s="2"/>
      <c r="J25" s="2"/>
      <c r="K25" s="2"/>
      <c r="L25" s="13" t="s">
        <v>213</v>
      </c>
      <c r="M25" s="13" t="s">
        <v>213</v>
      </c>
      <c r="N25" s="2"/>
      <c r="O25" s="2"/>
      <c r="P25" s="2"/>
      <c r="Q25" s="57"/>
      <c r="R25" s="67">
        <f t="shared" si="0"/>
        <v>0</v>
      </c>
    </row>
    <row r="26" spans="1:18" ht="14.25">
      <c r="A26" s="73" t="s">
        <v>240</v>
      </c>
      <c r="B26" s="82" t="s">
        <v>163</v>
      </c>
      <c r="C26" s="83" t="s">
        <v>154</v>
      </c>
      <c r="D26" s="77"/>
      <c r="E26" s="3"/>
      <c r="F26" s="3"/>
      <c r="G26" s="3"/>
      <c r="H26" s="2"/>
      <c r="I26" s="2"/>
      <c r="J26" s="2"/>
      <c r="K26" s="2"/>
      <c r="L26" s="11"/>
      <c r="M26" s="11"/>
      <c r="N26" s="2"/>
      <c r="O26" s="2"/>
      <c r="P26" s="13" t="s">
        <v>213</v>
      </c>
      <c r="Q26" s="63" t="s">
        <v>213</v>
      </c>
      <c r="R26" s="67">
        <f t="shared" si="0"/>
        <v>0</v>
      </c>
    </row>
    <row r="27" spans="1:18" ht="14.25">
      <c r="A27" s="73" t="s">
        <v>241</v>
      </c>
      <c r="B27" s="82" t="s">
        <v>204</v>
      </c>
      <c r="C27" s="83" t="s">
        <v>154</v>
      </c>
      <c r="D27" s="77"/>
      <c r="E27" s="3"/>
      <c r="F27" s="3"/>
      <c r="G27" s="3"/>
      <c r="H27" s="2"/>
      <c r="I27" s="2"/>
      <c r="J27" s="2"/>
      <c r="K27" s="2"/>
      <c r="L27" s="11"/>
      <c r="M27" s="11"/>
      <c r="N27" s="2"/>
      <c r="O27" s="2"/>
      <c r="P27" s="13" t="s">
        <v>213</v>
      </c>
      <c r="Q27" s="63" t="s">
        <v>213</v>
      </c>
      <c r="R27" s="67">
        <f t="shared" si="0"/>
        <v>0</v>
      </c>
    </row>
    <row r="28" spans="1:18" ht="14.25">
      <c r="A28" s="73" t="s">
        <v>242</v>
      </c>
      <c r="B28" s="82" t="s">
        <v>205</v>
      </c>
      <c r="C28" s="83" t="s">
        <v>154</v>
      </c>
      <c r="D28" s="77"/>
      <c r="E28" s="3"/>
      <c r="F28" s="3"/>
      <c r="G28" s="3"/>
      <c r="H28" s="2"/>
      <c r="I28" s="2"/>
      <c r="J28" s="2"/>
      <c r="K28" s="2"/>
      <c r="L28" s="2"/>
      <c r="M28" s="2"/>
      <c r="N28" s="2"/>
      <c r="O28" s="2"/>
      <c r="P28" s="13" t="s">
        <v>213</v>
      </c>
      <c r="Q28" s="63" t="s">
        <v>213</v>
      </c>
      <c r="R28" s="67">
        <f t="shared" si="0"/>
        <v>0</v>
      </c>
    </row>
    <row r="29" spans="1:18" ht="14.25">
      <c r="A29" s="73" t="s">
        <v>243</v>
      </c>
      <c r="B29" s="82" t="s">
        <v>206</v>
      </c>
      <c r="C29" s="83" t="s">
        <v>154</v>
      </c>
      <c r="D29" s="77"/>
      <c r="E29" s="3"/>
      <c r="F29" s="3"/>
      <c r="G29" s="3"/>
      <c r="H29" s="2"/>
      <c r="I29" s="2"/>
      <c r="J29" s="2"/>
      <c r="K29" s="2"/>
      <c r="L29" s="2"/>
      <c r="M29" s="2"/>
      <c r="N29" s="2"/>
      <c r="O29" s="2"/>
      <c r="P29" s="13" t="s">
        <v>213</v>
      </c>
      <c r="Q29" s="63" t="s">
        <v>213</v>
      </c>
      <c r="R29" s="67">
        <f t="shared" si="0"/>
        <v>0</v>
      </c>
    </row>
    <row r="30" spans="1:18" ht="14.25">
      <c r="A30" s="73" t="s">
        <v>244</v>
      </c>
      <c r="B30" s="82" t="s">
        <v>207</v>
      </c>
      <c r="C30" s="83" t="s">
        <v>154</v>
      </c>
      <c r="D30" s="77"/>
      <c r="E30" s="3"/>
      <c r="F30" s="3"/>
      <c r="G30" s="3"/>
      <c r="H30" s="2"/>
      <c r="I30" s="2"/>
      <c r="J30" s="2"/>
      <c r="K30" s="2"/>
      <c r="L30" s="2"/>
      <c r="M30" s="2"/>
      <c r="N30" s="2"/>
      <c r="O30" s="2"/>
      <c r="P30" s="13" t="s">
        <v>213</v>
      </c>
      <c r="Q30" s="63" t="s">
        <v>213</v>
      </c>
      <c r="R30" s="67">
        <f t="shared" si="0"/>
        <v>0</v>
      </c>
    </row>
    <row r="31" spans="1:18" ht="14.25">
      <c r="A31" s="73" t="s">
        <v>245</v>
      </c>
      <c r="B31" s="82" t="s">
        <v>208</v>
      </c>
      <c r="C31" s="83" t="s">
        <v>154</v>
      </c>
      <c r="D31" s="77"/>
      <c r="E31" s="3"/>
      <c r="F31" s="3"/>
      <c r="G31" s="3"/>
      <c r="H31" s="2"/>
      <c r="I31" s="2"/>
      <c r="J31" s="2"/>
      <c r="K31" s="2"/>
      <c r="L31" s="2"/>
      <c r="M31" s="2"/>
      <c r="N31" s="2"/>
      <c r="O31" s="2"/>
      <c r="P31" s="13" t="s">
        <v>213</v>
      </c>
      <c r="Q31" s="63" t="s">
        <v>213</v>
      </c>
      <c r="R31" s="67">
        <f t="shared" si="0"/>
        <v>0</v>
      </c>
    </row>
    <row r="32" spans="1:18" ht="15" thickBot="1">
      <c r="A32" s="74" t="s">
        <v>246</v>
      </c>
      <c r="B32" s="84" t="s">
        <v>209</v>
      </c>
      <c r="C32" s="85" t="s">
        <v>154</v>
      </c>
      <c r="D32" s="78"/>
      <c r="E32" s="59"/>
      <c r="F32" s="59"/>
      <c r="G32" s="59"/>
      <c r="H32" s="40"/>
      <c r="I32" s="40"/>
      <c r="J32" s="40"/>
      <c r="K32" s="40"/>
      <c r="L32" s="40"/>
      <c r="M32" s="40"/>
      <c r="N32" s="40"/>
      <c r="O32" s="40"/>
      <c r="P32" s="40"/>
      <c r="Q32" s="64" t="s">
        <v>213</v>
      </c>
      <c r="R32" s="68">
        <f t="shared" si="0"/>
        <v>0</v>
      </c>
    </row>
    <row r="33" spans="1:18" ht="14.25">
      <c r="A33" s="18"/>
      <c r="B33" s="18"/>
      <c r="C33" s="18"/>
      <c r="D33" s="23"/>
      <c r="E33" s="23"/>
      <c r="F33" s="23"/>
      <c r="G33" s="23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9"/>
    </row>
    <row r="34" s="32" customFormat="1" ht="14.25">
      <c r="A34" s="32" t="s">
        <v>212</v>
      </c>
    </row>
    <row r="35" s="33" customFormat="1" ht="14.25">
      <c r="A35" s="33" t="s">
        <v>124</v>
      </c>
    </row>
    <row r="36" s="32" customFormat="1" ht="14.25">
      <c r="A36" s="32" t="s">
        <v>214</v>
      </c>
    </row>
  </sheetData>
  <sheetProtection/>
  <autoFilter ref="B2:R2">
    <sortState ref="B3:R36">
      <sortCondition descending="1" sortBy="value" ref="Q3:Q36"/>
    </sortState>
  </autoFilter>
  <mergeCells count="1">
    <mergeCell ref="A1:R1"/>
  </mergeCell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11"/>
  <sheetViews>
    <sheetView workbookViewId="0" topLeftCell="A1">
      <selection activeCell="O13" sqref="O13"/>
    </sheetView>
  </sheetViews>
  <sheetFormatPr defaultColWidth="9.140625" defaultRowHeight="15"/>
  <cols>
    <col min="1" max="1" width="5.28125" style="1" customWidth="1"/>
    <col min="2" max="2" width="20.57421875" style="1" customWidth="1"/>
    <col min="3" max="3" width="16.140625" style="1" customWidth="1"/>
    <col min="4" max="5" width="9.140625" style="1" customWidth="1"/>
    <col min="6" max="7" width="9.140625" style="6" customWidth="1"/>
    <col min="8" max="18" width="9.140625" style="1" customWidth="1"/>
    <col min="19" max="27" width="9.00390625" style="18" customWidth="1"/>
    <col min="28" max="16384" width="9.00390625" style="1" customWidth="1"/>
  </cols>
  <sheetData>
    <row r="1" spans="1:20" ht="32.25" customHeight="1" thickBot="1">
      <c r="A1" s="116" t="s">
        <v>40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8"/>
      <c r="S1" s="36"/>
      <c r="T1" s="36"/>
    </row>
    <row r="2" spans="1:20" ht="150" thickBot="1">
      <c r="A2" s="71" t="s">
        <v>215</v>
      </c>
      <c r="B2" s="50" t="s">
        <v>216</v>
      </c>
      <c r="C2" s="79" t="s">
        <v>0</v>
      </c>
      <c r="D2" s="75" t="s">
        <v>62</v>
      </c>
      <c r="E2" s="52" t="s">
        <v>63</v>
      </c>
      <c r="F2" s="52" t="s">
        <v>45</v>
      </c>
      <c r="G2" s="52" t="s">
        <v>46</v>
      </c>
      <c r="H2" s="52" t="s">
        <v>47</v>
      </c>
      <c r="I2" s="52" t="s">
        <v>48</v>
      </c>
      <c r="J2" s="52" t="s">
        <v>64</v>
      </c>
      <c r="K2" s="52" t="s">
        <v>65</v>
      </c>
      <c r="L2" s="52" t="s">
        <v>66</v>
      </c>
      <c r="M2" s="52" t="s">
        <v>67</v>
      </c>
      <c r="N2" s="52" t="s">
        <v>74</v>
      </c>
      <c r="O2" s="52" t="s">
        <v>75</v>
      </c>
      <c r="P2" s="52" t="s">
        <v>68</v>
      </c>
      <c r="Q2" s="61" t="s">
        <v>69</v>
      </c>
      <c r="R2" s="65" t="s">
        <v>1</v>
      </c>
      <c r="S2" s="34"/>
      <c r="T2" s="34"/>
    </row>
    <row r="3" spans="1:18" ht="14.25">
      <c r="A3" s="72" t="s">
        <v>217</v>
      </c>
      <c r="B3" s="80" t="s">
        <v>186</v>
      </c>
      <c r="C3" s="81" t="s">
        <v>154</v>
      </c>
      <c r="D3" s="88"/>
      <c r="E3" s="17"/>
      <c r="F3" s="94"/>
      <c r="G3" s="17"/>
      <c r="H3" s="94"/>
      <c r="I3" s="17"/>
      <c r="J3" s="17"/>
      <c r="K3" s="94"/>
      <c r="L3" s="17"/>
      <c r="M3" s="94"/>
      <c r="N3" s="17"/>
      <c r="O3" s="17"/>
      <c r="P3" s="17">
        <f>100-(64.25-64.25)/64.25*50</f>
        <v>100</v>
      </c>
      <c r="Q3" s="62">
        <f>100-(43.43-39.58)/39.58*50</f>
        <v>95.13643254168773</v>
      </c>
      <c r="R3" s="66">
        <f>SUM(D3:Q3)</f>
        <v>195.13643254168773</v>
      </c>
    </row>
    <row r="4" spans="1:18" ht="14.25">
      <c r="A4" s="73" t="s">
        <v>218</v>
      </c>
      <c r="B4" s="82" t="s">
        <v>187</v>
      </c>
      <c r="C4" s="83" t="s">
        <v>154</v>
      </c>
      <c r="D4" s="96"/>
      <c r="E4" s="8"/>
      <c r="F4" s="7"/>
      <c r="G4" s="7"/>
      <c r="H4" s="9"/>
      <c r="I4" s="8"/>
      <c r="J4" s="8"/>
      <c r="K4" s="7"/>
      <c r="L4" s="8"/>
      <c r="M4" s="8"/>
      <c r="N4" s="7"/>
      <c r="O4" s="8"/>
      <c r="P4" s="8">
        <f>100-(67.92-64.25)/64.25*50</f>
        <v>97.14396887159533</v>
      </c>
      <c r="Q4" s="56">
        <f>100-(41.42-39.58)/39.58*50</f>
        <v>97.67559373420919</v>
      </c>
      <c r="R4" s="67">
        <f>SUM(D4:Q4)</f>
        <v>194.81956260580452</v>
      </c>
    </row>
    <row r="5" spans="1:18" ht="14.25">
      <c r="A5" s="73" t="s">
        <v>219</v>
      </c>
      <c r="B5" s="82" t="s">
        <v>189</v>
      </c>
      <c r="C5" s="83" t="s">
        <v>154</v>
      </c>
      <c r="D5" s="35"/>
      <c r="E5" s="2"/>
      <c r="F5" s="3"/>
      <c r="G5" s="3"/>
      <c r="H5" s="2"/>
      <c r="I5" s="2"/>
      <c r="J5" s="2"/>
      <c r="K5" s="2"/>
      <c r="L5" s="2"/>
      <c r="M5" s="2"/>
      <c r="N5" s="8"/>
      <c r="O5" s="2"/>
      <c r="P5" s="8">
        <f>100-(90.65-64.25)/64.25*50</f>
        <v>79.45525291828793</v>
      </c>
      <c r="Q5" s="56">
        <f>100-(39.58-39.58)/39.58*50</f>
        <v>100</v>
      </c>
      <c r="R5" s="67">
        <f>SUM(D5:Q5)</f>
        <v>179.45525291828793</v>
      </c>
    </row>
    <row r="6" spans="1:18" ht="14.25">
      <c r="A6" s="73" t="s">
        <v>220</v>
      </c>
      <c r="B6" s="82" t="s">
        <v>188</v>
      </c>
      <c r="C6" s="83" t="s">
        <v>154</v>
      </c>
      <c r="D6" s="35"/>
      <c r="E6" s="2"/>
      <c r="F6" s="3"/>
      <c r="G6" s="3"/>
      <c r="H6" s="2"/>
      <c r="I6" s="2"/>
      <c r="J6" s="2"/>
      <c r="K6" s="2"/>
      <c r="L6" s="2"/>
      <c r="M6" s="8"/>
      <c r="N6" s="2"/>
      <c r="O6" s="2"/>
      <c r="P6" s="8">
        <f>100-(69.1-64.25)/64.25*50</f>
        <v>96.22568093385215</v>
      </c>
      <c r="Q6" s="63" t="s">
        <v>213</v>
      </c>
      <c r="R6" s="67">
        <f>SUM(D6:Q6)</f>
        <v>96.22568093385215</v>
      </c>
    </row>
    <row r="7" spans="1:18" ht="15" thickBot="1">
      <c r="A7" s="74" t="s">
        <v>221</v>
      </c>
      <c r="B7" s="84" t="s">
        <v>190</v>
      </c>
      <c r="C7" s="85" t="s">
        <v>154</v>
      </c>
      <c r="D7" s="92"/>
      <c r="E7" s="41"/>
      <c r="F7" s="45"/>
      <c r="G7" s="45"/>
      <c r="H7" s="41"/>
      <c r="I7" s="41"/>
      <c r="J7" s="41"/>
      <c r="K7" s="41"/>
      <c r="L7" s="95"/>
      <c r="M7" s="41"/>
      <c r="N7" s="41"/>
      <c r="O7" s="60"/>
      <c r="P7" s="41">
        <f>100-(91.73-64.25)/64.25*50</f>
        <v>78.61478599221789</v>
      </c>
      <c r="Q7" s="64" t="s">
        <v>213</v>
      </c>
      <c r="R7" s="68">
        <f>SUM(D7:Q7)</f>
        <v>78.61478599221789</v>
      </c>
    </row>
    <row r="8" spans="1:18" ht="14.25">
      <c r="A8" s="18"/>
      <c r="B8" s="18"/>
      <c r="C8" s="18"/>
      <c r="D8" s="18"/>
      <c r="E8" s="18"/>
      <c r="F8" s="23"/>
      <c r="G8" s="23"/>
      <c r="H8" s="18"/>
      <c r="I8" s="18"/>
      <c r="J8" s="18"/>
      <c r="K8" s="18"/>
      <c r="L8" s="18"/>
      <c r="M8" s="18"/>
      <c r="N8" s="18"/>
      <c r="O8" s="18"/>
      <c r="P8" s="19"/>
      <c r="Q8" s="18"/>
      <c r="R8" s="18"/>
    </row>
    <row r="9" s="32" customFormat="1" ht="14.25">
      <c r="A9" s="32" t="s">
        <v>212</v>
      </c>
    </row>
    <row r="10" s="33" customFormat="1" ht="14.25">
      <c r="A10" s="33" t="s">
        <v>124</v>
      </c>
    </row>
    <row r="11" s="32" customFormat="1" ht="14.25">
      <c r="A11" s="32" t="s">
        <v>214</v>
      </c>
    </row>
  </sheetData>
  <mergeCells count="1">
    <mergeCell ref="A1:R1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T18"/>
  <sheetViews>
    <sheetView zoomScalePageLayoutView="0" workbookViewId="0" topLeftCell="A1">
      <selection activeCell="L27" sqref="L27"/>
    </sheetView>
  </sheetViews>
  <sheetFormatPr defaultColWidth="9.140625" defaultRowHeight="15"/>
  <cols>
    <col min="1" max="1" width="5.00390625" style="1" customWidth="1"/>
    <col min="2" max="2" width="14.421875" style="1" customWidth="1"/>
    <col min="3" max="3" width="16.140625" style="1" customWidth="1"/>
    <col min="4" max="5" width="9.140625" style="1" customWidth="1"/>
    <col min="6" max="7" width="9.140625" style="6" customWidth="1"/>
    <col min="8" max="18" width="9.140625" style="1" customWidth="1"/>
    <col min="19" max="27" width="9.00390625" style="18" customWidth="1"/>
    <col min="28" max="16384" width="9.00390625" style="1" customWidth="1"/>
  </cols>
  <sheetData>
    <row r="1" spans="1:20" ht="34.5" customHeight="1" thickBot="1">
      <c r="A1" s="116" t="s">
        <v>40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8"/>
      <c r="S1" s="36"/>
      <c r="T1" s="36"/>
    </row>
    <row r="2" spans="1:20" ht="150" thickBot="1">
      <c r="A2" s="97" t="s">
        <v>215</v>
      </c>
      <c r="B2" s="50" t="s">
        <v>216</v>
      </c>
      <c r="C2" s="79" t="s">
        <v>0</v>
      </c>
      <c r="D2" s="75" t="s">
        <v>62</v>
      </c>
      <c r="E2" s="52" t="s">
        <v>63</v>
      </c>
      <c r="F2" s="52" t="s">
        <v>45</v>
      </c>
      <c r="G2" s="52" t="s">
        <v>46</v>
      </c>
      <c r="H2" s="52" t="s">
        <v>47</v>
      </c>
      <c r="I2" s="52" t="s">
        <v>48</v>
      </c>
      <c r="J2" s="52" t="s">
        <v>64</v>
      </c>
      <c r="K2" s="52" t="s">
        <v>65</v>
      </c>
      <c r="L2" s="52" t="s">
        <v>66</v>
      </c>
      <c r="M2" s="52" t="s">
        <v>67</v>
      </c>
      <c r="N2" s="52" t="s">
        <v>74</v>
      </c>
      <c r="O2" s="52" t="s">
        <v>75</v>
      </c>
      <c r="P2" s="52" t="s">
        <v>68</v>
      </c>
      <c r="Q2" s="61" t="s">
        <v>69</v>
      </c>
      <c r="R2" s="65" t="s">
        <v>1</v>
      </c>
      <c r="S2" s="34"/>
      <c r="T2" s="34"/>
    </row>
    <row r="3" spans="1:18" ht="14.25">
      <c r="A3" s="98" t="s">
        <v>217</v>
      </c>
      <c r="B3" s="80" t="s">
        <v>41</v>
      </c>
      <c r="C3" s="81" t="s">
        <v>42</v>
      </c>
      <c r="D3" s="88">
        <f>100-(39.55-28.63)/28.63*50</f>
        <v>80.92909535452323</v>
      </c>
      <c r="E3" s="17">
        <f>100-(78.42-57.38)/57.38*50</f>
        <v>81.66608574416173</v>
      </c>
      <c r="F3" s="55" t="s">
        <v>213</v>
      </c>
      <c r="G3" s="17">
        <f>100-(85.47-59.68)/59.68*50</f>
        <v>78.39309651474531</v>
      </c>
      <c r="H3" s="55" t="s">
        <v>213</v>
      </c>
      <c r="I3" s="48">
        <f>100-(48.48-28.78)/28.78*50</f>
        <v>65.77484364141766</v>
      </c>
      <c r="J3" s="17">
        <f>100-(41.13-41.13)/41.13*50</f>
        <v>100</v>
      </c>
      <c r="K3" s="55" t="s">
        <v>213</v>
      </c>
      <c r="L3" s="17">
        <f>100-(29.93-29.93)/29.93*50</f>
        <v>100</v>
      </c>
      <c r="M3" s="55" t="s">
        <v>213</v>
      </c>
      <c r="N3" s="48">
        <f>100-(78.77-48.8)/48.8*50</f>
        <v>69.29303278688525</v>
      </c>
      <c r="O3" s="17"/>
      <c r="P3" s="17">
        <f>100-(43.67-38.7)/38.7*50</f>
        <v>93.57881136950904</v>
      </c>
      <c r="Q3" s="62">
        <f>100-(41.43-35.92)/35.92*50</f>
        <v>92.33017817371937</v>
      </c>
      <c r="R3" s="66">
        <f>SUM(D3:Q3)-I3-N3</f>
        <v>626.8972671566587</v>
      </c>
    </row>
    <row r="4" spans="1:18" ht="14.25">
      <c r="A4" s="99" t="s">
        <v>218</v>
      </c>
      <c r="B4" s="82" t="s">
        <v>56</v>
      </c>
      <c r="C4" s="83" t="s">
        <v>10</v>
      </c>
      <c r="D4" s="96"/>
      <c r="E4" s="8"/>
      <c r="F4" s="7"/>
      <c r="G4" s="7"/>
      <c r="H4" s="13" t="s">
        <v>213</v>
      </c>
      <c r="I4" s="8">
        <f>100-(28.78-28.78)/28.78*50</f>
        <v>100</v>
      </c>
      <c r="J4" s="8"/>
      <c r="K4" s="7"/>
      <c r="L4" s="8">
        <f>100-(31-29.93)/29.93*50</f>
        <v>98.21249582358837</v>
      </c>
      <c r="M4" s="8">
        <f>100-(99.08-87.2)/87.2*50</f>
        <v>93.18807339449542</v>
      </c>
      <c r="N4" s="7"/>
      <c r="O4" s="8"/>
      <c r="P4" s="8">
        <f>100-(38.7-38.7)/38.7*50</f>
        <v>100</v>
      </c>
      <c r="Q4" s="56">
        <f>100-(35.92-35.92)/35.92*50</f>
        <v>100</v>
      </c>
      <c r="R4" s="67">
        <f aca="true" t="shared" si="0" ref="R4:R14">SUM(D4:Q4)</f>
        <v>491.4005692180838</v>
      </c>
    </row>
    <row r="5" spans="1:18" ht="14.25">
      <c r="A5" s="99" t="s">
        <v>219</v>
      </c>
      <c r="B5" s="82" t="s">
        <v>138</v>
      </c>
      <c r="C5" s="83" t="s">
        <v>139</v>
      </c>
      <c r="D5" s="35"/>
      <c r="E5" s="2"/>
      <c r="F5" s="3"/>
      <c r="G5" s="3"/>
      <c r="H5" s="2"/>
      <c r="I5" s="2"/>
      <c r="J5" s="2"/>
      <c r="K5" s="2"/>
      <c r="L5" s="2"/>
      <c r="M5" s="2"/>
      <c r="N5" s="8">
        <f>100-(58.3-48.8)/48.8*50</f>
        <v>90.26639344262296</v>
      </c>
      <c r="O5" s="13" t="s">
        <v>213</v>
      </c>
      <c r="P5" s="8">
        <f>100-(39.67-38.7)/38.7*50</f>
        <v>98.7467700258398</v>
      </c>
      <c r="Q5" s="56">
        <f>100-(39.55-35.92)/35.92*50</f>
        <v>94.94710467706014</v>
      </c>
      <c r="R5" s="67">
        <f t="shared" si="0"/>
        <v>283.9602681455229</v>
      </c>
    </row>
    <row r="6" spans="1:18" ht="14.25">
      <c r="A6" s="99" t="s">
        <v>220</v>
      </c>
      <c r="B6" s="82" t="s">
        <v>153</v>
      </c>
      <c r="C6" s="83" t="s">
        <v>154</v>
      </c>
      <c r="D6" s="35"/>
      <c r="E6" s="2"/>
      <c r="F6" s="3"/>
      <c r="G6" s="3"/>
      <c r="H6" s="2"/>
      <c r="I6" s="2"/>
      <c r="J6" s="2"/>
      <c r="K6" s="2"/>
      <c r="L6" s="2"/>
      <c r="M6" s="2"/>
      <c r="N6" s="2"/>
      <c r="O6" s="2"/>
      <c r="P6" s="8">
        <f>100-(45.42-38.7)/38.7*50</f>
        <v>91.31782945736434</v>
      </c>
      <c r="Q6" s="56">
        <f>100-(46.65-35.92)/35.92*50</f>
        <v>85.06403118040089</v>
      </c>
      <c r="R6" s="67">
        <f t="shared" si="0"/>
        <v>176.38186063776521</v>
      </c>
    </row>
    <row r="7" spans="1:18" ht="14.25">
      <c r="A7" s="99" t="s">
        <v>221</v>
      </c>
      <c r="B7" s="82" t="s">
        <v>155</v>
      </c>
      <c r="C7" s="83" t="s">
        <v>154</v>
      </c>
      <c r="D7" s="35"/>
      <c r="E7" s="2"/>
      <c r="F7" s="3"/>
      <c r="G7" s="3"/>
      <c r="H7" s="2"/>
      <c r="I7" s="2"/>
      <c r="J7" s="2"/>
      <c r="K7" s="2"/>
      <c r="L7" s="2"/>
      <c r="M7" s="2"/>
      <c r="N7" s="2"/>
      <c r="O7" s="2"/>
      <c r="P7" s="8">
        <f>100-(55.2-38.7)/38.7*50</f>
        <v>78.68217054263566</v>
      </c>
      <c r="Q7" s="56">
        <f>100-(55.78-35.92)/35.92*50</f>
        <v>72.35523385300668</v>
      </c>
      <c r="R7" s="67">
        <f t="shared" si="0"/>
        <v>151.03740439564234</v>
      </c>
    </row>
    <row r="8" spans="1:18" ht="14.25">
      <c r="A8" s="99" t="s">
        <v>222</v>
      </c>
      <c r="B8" s="82" t="s">
        <v>156</v>
      </c>
      <c r="C8" s="83" t="s">
        <v>154</v>
      </c>
      <c r="D8" s="35"/>
      <c r="E8" s="2"/>
      <c r="F8" s="3"/>
      <c r="G8" s="3"/>
      <c r="H8" s="2"/>
      <c r="I8" s="2"/>
      <c r="J8" s="2"/>
      <c r="K8" s="2"/>
      <c r="L8" s="2"/>
      <c r="M8" s="2"/>
      <c r="N8" s="2"/>
      <c r="O8" s="2"/>
      <c r="P8" s="8">
        <f>100-(57.13-38.7)/38.7*50</f>
        <v>76.18863049095607</v>
      </c>
      <c r="Q8" s="56">
        <f>100-(71.08-35.92)/35.92*50</f>
        <v>51.05790645879733</v>
      </c>
      <c r="R8" s="67">
        <f t="shared" si="0"/>
        <v>127.2465369497534</v>
      </c>
    </row>
    <row r="9" spans="1:18" ht="14.25">
      <c r="A9" s="99" t="s">
        <v>223</v>
      </c>
      <c r="B9" s="82" t="s">
        <v>157</v>
      </c>
      <c r="C9" s="83" t="s">
        <v>58</v>
      </c>
      <c r="D9" s="35"/>
      <c r="E9" s="2"/>
      <c r="F9" s="3"/>
      <c r="G9" s="3"/>
      <c r="H9" s="2"/>
      <c r="I9" s="2"/>
      <c r="J9" s="2"/>
      <c r="K9" s="2"/>
      <c r="L9" s="2"/>
      <c r="M9" s="2"/>
      <c r="N9" s="2"/>
      <c r="O9" s="2"/>
      <c r="P9" s="8">
        <f>100-(75.52-38.7)/38.7*50</f>
        <v>52.42894056847546</v>
      </c>
      <c r="Q9" s="56">
        <f>100-(68.92-35.92)/35.92*50</f>
        <v>54.064587973273944</v>
      </c>
      <c r="R9" s="67">
        <f t="shared" si="0"/>
        <v>106.49352854174941</v>
      </c>
    </row>
    <row r="10" spans="1:18" ht="14.25">
      <c r="A10" s="99" t="s">
        <v>224</v>
      </c>
      <c r="B10" s="82" t="s">
        <v>117</v>
      </c>
      <c r="C10" s="83" t="s">
        <v>84</v>
      </c>
      <c r="D10" s="35"/>
      <c r="E10" s="2"/>
      <c r="F10" s="3"/>
      <c r="G10" s="3"/>
      <c r="H10" s="2"/>
      <c r="I10" s="2"/>
      <c r="J10" s="2"/>
      <c r="K10" s="2"/>
      <c r="L10" s="2"/>
      <c r="M10" s="8">
        <f>100-(87.2-87.2)/87.2*50</f>
        <v>100</v>
      </c>
      <c r="N10" s="2"/>
      <c r="O10" s="2"/>
      <c r="P10" s="2"/>
      <c r="Q10" s="57"/>
      <c r="R10" s="67">
        <f t="shared" si="0"/>
        <v>100</v>
      </c>
    </row>
    <row r="11" spans="1:18" ht="14.25">
      <c r="A11" s="99" t="s">
        <v>225</v>
      </c>
      <c r="B11" s="82" t="s">
        <v>137</v>
      </c>
      <c r="C11" s="83" t="s">
        <v>6</v>
      </c>
      <c r="D11" s="35"/>
      <c r="E11" s="2"/>
      <c r="F11" s="3"/>
      <c r="G11" s="3"/>
      <c r="H11" s="2"/>
      <c r="I11" s="2"/>
      <c r="J11" s="2"/>
      <c r="K11" s="2"/>
      <c r="L11" s="2"/>
      <c r="M11" s="2"/>
      <c r="N11" s="8">
        <f>100-(48.8-48.8)/48.8*50</f>
        <v>100</v>
      </c>
      <c r="O11" s="2"/>
      <c r="P11" s="2"/>
      <c r="Q11" s="57"/>
      <c r="R11" s="67">
        <f t="shared" si="0"/>
        <v>100</v>
      </c>
    </row>
    <row r="12" spans="1:18" ht="14.25">
      <c r="A12" s="99" t="s">
        <v>226</v>
      </c>
      <c r="B12" s="82" t="s">
        <v>57</v>
      </c>
      <c r="C12" s="83" t="s">
        <v>58</v>
      </c>
      <c r="D12" s="89"/>
      <c r="E12" s="8"/>
      <c r="F12" s="7"/>
      <c r="G12" s="7"/>
      <c r="H12" s="8"/>
      <c r="I12" s="8">
        <f>100-(64.97-28.78)/28.78*50</f>
        <v>37.126476719944414</v>
      </c>
      <c r="J12" s="8"/>
      <c r="K12" s="8"/>
      <c r="L12" s="13" t="s">
        <v>213</v>
      </c>
      <c r="M12" s="8">
        <f>100-(153.02-87.2)/87.2*50</f>
        <v>62.2591743119266</v>
      </c>
      <c r="N12" s="8"/>
      <c r="O12" s="13" t="s">
        <v>213</v>
      </c>
      <c r="P12" s="8"/>
      <c r="Q12" s="56"/>
      <c r="R12" s="67">
        <f t="shared" si="0"/>
        <v>99.38565103187102</v>
      </c>
    </row>
    <row r="13" spans="1:18" ht="14.25">
      <c r="A13" s="99" t="s">
        <v>227</v>
      </c>
      <c r="B13" s="82" t="s">
        <v>99</v>
      </c>
      <c r="C13" s="83" t="s">
        <v>6</v>
      </c>
      <c r="D13" s="35"/>
      <c r="E13" s="2"/>
      <c r="F13" s="3"/>
      <c r="G13" s="3"/>
      <c r="H13" s="2"/>
      <c r="I13" s="2"/>
      <c r="J13" s="2"/>
      <c r="K13" s="2"/>
      <c r="L13" s="8">
        <f>100-(34-29.93)/29.93*50</f>
        <v>93.20080187103241</v>
      </c>
      <c r="M13" s="2"/>
      <c r="N13" s="2"/>
      <c r="O13" s="2"/>
      <c r="P13" s="2"/>
      <c r="Q13" s="57"/>
      <c r="R13" s="67">
        <f t="shared" si="0"/>
        <v>93.20080187103241</v>
      </c>
    </row>
    <row r="14" spans="1:18" ht="15" thickBot="1">
      <c r="A14" s="100" t="s">
        <v>228</v>
      </c>
      <c r="B14" s="84" t="s">
        <v>118</v>
      </c>
      <c r="C14" s="85" t="s">
        <v>114</v>
      </c>
      <c r="D14" s="70"/>
      <c r="E14" s="40"/>
      <c r="F14" s="59"/>
      <c r="G14" s="59"/>
      <c r="H14" s="40"/>
      <c r="I14" s="40"/>
      <c r="J14" s="40"/>
      <c r="K14" s="40"/>
      <c r="L14" s="40"/>
      <c r="M14" s="41">
        <f>100-(148.2-87.2)/87.2*50</f>
        <v>65.02293577981652</v>
      </c>
      <c r="N14" s="40"/>
      <c r="O14" s="40"/>
      <c r="P14" s="40"/>
      <c r="Q14" s="101"/>
      <c r="R14" s="68">
        <f t="shared" si="0"/>
        <v>65.02293577981652</v>
      </c>
    </row>
    <row r="15" spans="1:18" ht="14.25">
      <c r="A15" s="18"/>
      <c r="B15" s="18"/>
      <c r="C15" s="18"/>
      <c r="D15" s="18"/>
      <c r="E15" s="18"/>
      <c r="F15" s="23"/>
      <c r="G15" s="23"/>
      <c r="H15" s="18"/>
      <c r="I15" s="18"/>
      <c r="J15" s="18"/>
      <c r="K15" s="18"/>
      <c r="L15" s="18"/>
      <c r="M15" s="18"/>
      <c r="N15" s="18"/>
      <c r="O15" s="18"/>
      <c r="P15" s="19"/>
      <c r="Q15" s="18"/>
      <c r="R15" s="18"/>
    </row>
    <row r="16" s="32" customFormat="1" ht="14.25">
      <c r="A16" s="32" t="s">
        <v>212</v>
      </c>
    </row>
    <row r="17" s="33" customFormat="1" ht="14.25">
      <c r="A17" s="33" t="s">
        <v>124</v>
      </c>
    </row>
    <row r="18" s="32" customFormat="1" ht="14.25">
      <c r="A18" s="32" t="s">
        <v>214</v>
      </c>
    </row>
  </sheetData>
  <sheetProtection/>
  <autoFilter ref="B2:R2">
    <sortState ref="B3:R18">
      <sortCondition descending="1" sortBy="value" ref="Q3:Q18"/>
    </sortState>
  </autoFilter>
  <mergeCells count="1">
    <mergeCell ref="A1:R1"/>
  </mergeCells>
  <printOptions/>
  <pageMargins left="0.7" right="0.7" top="0.75" bottom="0.75" header="0.3" footer="0.3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27"/>
  <sheetViews>
    <sheetView workbookViewId="0" topLeftCell="A1">
      <selection activeCell="D16" sqref="D16"/>
    </sheetView>
  </sheetViews>
  <sheetFormatPr defaultColWidth="9.140625" defaultRowHeight="15"/>
  <cols>
    <col min="1" max="1" width="4.7109375" style="1" customWidth="1"/>
    <col min="2" max="2" width="19.00390625" style="1" customWidth="1"/>
    <col min="3" max="3" width="15.421875" style="1" customWidth="1"/>
    <col min="4" max="5" width="9.140625" style="1" customWidth="1"/>
    <col min="6" max="6" width="9.140625" style="6" customWidth="1"/>
    <col min="7" max="18" width="9.140625" style="1" customWidth="1"/>
    <col min="19" max="26" width="9.00390625" style="18" customWidth="1"/>
    <col min="27" max="16384" width="9.00390625" style="1" customWidth="1"/>
  </cols>
  <sheetData>
    <row r="1" spans="1:20" ht="33" customHeight="1" thickBot="1">
      <c r="A1" s="116" t="s">
        <v>40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8"/>
      <c r="S1" s="36"/>
      <c r="T1" s="36"/>
    </row>
    <row r="2" spans="1:20" ht="150" thickBot="1">
      <c r="A2" s="97" t="s">
        <v>215</v>
      </c>
      <c r="B2" s="50" t="s">
        <v>216</v>
      </c>
      <c r="C2" s="79" t="s">
        <v>0</v>
      </c>
      <c r="D2" s="75" t="s">
        <v>62</v>
      </c>
      <c r="E2" s="52" t="s">
        <v>63</v>
      </c>
      <c r="F2" s="52" t="s">
        <v>45</v>
      </c>
      <c r="G2" s="52" t="s">
        <v>46</v>
      </c>
      <c r="H2" s="52" t="s">
        <v>47</v>
      </c>
      <c r="I2" s="52" t="s">
        <v>48</v>
      </c>
      <c r="J2" s="52" t="s">
        <v>64</v>
      </c>
      <c r="K2" s="52" t="s">
        <v>65</v>
      </c>
      <c r="L2" s="52" t="s">
        <v>66</v>
      </c>
      <c r="M2" s="52" t="s">
        <v>67</v>
      </c>
      <c r="N2" s="52" t="s">
        <v>74</v>
      </c>
      <c r="O2" s="52" t="s">
        <v>75</v>
      </c>
      <c r="P2" s="52" t="s">
        <v>68</v>
      </c>
      <c r="Q2" s="61" t="s">
        <v>69</v>
      </c>
      <c r="R2" s="65" t="s">
        <v>1</v>
      </c>
      <c r="S2" s="34"/>
      <c r="T2" s="34"/>
    </row>
    <row r="3" spans="1:18" ht="15" thickBot="1">
      <c r="A3" s="105" t="s">
        <v>217</v>
      </c>
      <c r="B3" s="107" t="s">
        <v>91</v>
      </c>
      <c r="C3" s="108" t="s">
        <v>6</v>
      </c>
      <c r="D3" s="106"/>
      <c r="E3" s="103"/>
      <c r="F3" s="103"/>
      <c r="G3" s="103"/>
      <c r="H3" s="103"/>
      <c r="I3" s="104"/>
      <c r="J3" s="103"/>
      <c r="K3" s="103"/>
      <c r="L3" s="104"/>
      <c r="M3" s="103"/>
      <c r="N3" s="103">
        <f>100-(51.13-39.2)/39.2*50</f>
        <v>84.78316326530613</v>
      </c>
      <c r="O3" s="103">
        <f>100-(53.32-45.78)/45.78*50</f>
        <v>91.76496286588029</v>
      </c>
      <c r="P3" s="103"/>
      <c r="Q3" s="109"/>
      <c r="R3" s="110">
        <f>SUM(D3:Q3)</f>
        <v>176.54812613118642</v>
      </c>
    </row>
    <row r="4" spans="1:18" ht="14.25">
      <c r="A4" s="18"/>
      <c r="B4" s="18"/>
      <c r="C4" s="18"/>
      <c r="D4" s="23"/>
      <c r="E4" s="18"/>
      <c r="F4" s="23"/>
      <c r="G4" s="18"/>
      <c r="H4" s="18"/>
      <c r="I4" s="18"/>
      <c r="J4" s="23"/>
      <c r="K4" s="23"/>
      <c r="L4" s="18"/>
      <c r="M4" s="102"/>
      <c r="N4" s="18"/>
      <c r="O4" s="18"/>
      <c r="P4" s="18"/>
      <c r="Q4" s="18"/>
      <c r="R4" s="18"/>
    </row>
    <row r="5" s="32" customFormat="1" ht="14.25">
      <c r="A5" s="32" t="s">
        <v>212</v>
      </c>
    </row>
    <row r="6" s="33" customFormat="1" ht="14.25">
      <c r="A6" s="33" t="s">
        <v>124</v>
      </c>
    </row>
    <row r="7" s="32" customFormat="1" ht="14.25">
      <c r="A7" s="32" t="s">
        <v>214</v>
      </c>
    </row>
    <row r="8" spans="1:18" ht="14.25">
      <c r="A8" s="18"/>
      <c r="B8" s="18"/>
      <c r="C8" s="18"/>
      <c r="D8" s="18"/>
      <c r="E8" s="18"/>
      <c r="F8" s="23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</row>
    <row r="9" spans="1:18" ht="14.25">
      <c r="A9" s="18"/>
      <c r="B9" s="18"/>
      <c r="C9" s="18"/>
      <c r="D9" s="18"/>
      <c r="E9" s="18"/>
      <c r="F9" s="23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18" ht="14.25">
      <c r="A10" s="18"/>
      <c r="B10" s="18"/>
      <c r="C10" s="18"/>
      <c r="D10" s="18"/>
      <c r="E10" s="18"/>
      <c r="F10" s="23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18" ht="14.25">
      <c r="A11" s="18"/>
      <c r="B11" s="18"/>
      <c r="C11" s="18"/>
      <c r="D11" s="18"/>
      <c r="E11" s="18"/>
      <c r="F11" s="23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1:18" ht="14.25">
      <c r="A12" s="18"/>
      <c r="B12" s="18"/>
      <c r="C12" s="18"/>
      <c r="D12" s="18"/>
      <c r="E12" s="18"/>
      <c r="F12" s="23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18" ht="14.25">
      <c r="A13" s="18"/>
      <c r="B13" s="18"/>
      <c r="C13" s="18"/>
      <c r="D13" s="18"/>
      <c r="E13" s="18"/>
      <c r="F13" s="23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18" ht="14.25">
      <c r="A14" s="18"/>
      <c r="B14" s="18"/>
      <c r="C14" s="18"/>
      <c r="D14" s="18"/>
      <c r="E14" s="18"/>
      <c r="F14" s="23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spans="1:18" ht="14.25">
      <c r="A15" s="18"/>
      <c r="B15" s="18"/>
      <c r="C15" s="18"/>
      <c r="D15" s="18"/>
      <c r="E15" s="18"/>
      <c r="F15" s="23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</row>
    <row r="16" spans="1:18" ht="14.25">
      <c r="A16" s="18"/>
      <c r="B16" s="18"/>
      <c r="C16" s="18"/>
      <c r="D16" s="18"/>
      <c r="E16" s="18"/>
      <c r="F16" s="23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</row>
    <row r="17" s="18" customFormat="1" ht="14.25">
      <c r="F17" s="23"/>
    </row>
    <row r="18" s="18" customFormat="1" ht="14.25">
      <c r="F18" s="23"/>
    </row>
    <row r="19" s="18" customFormat="1" ht="14.25">
      <c r="F19" s="23"/>
    </row>
    <row r="20" s="18" customFormat="1" ht="14.25">
      <c r="F20" s="23"/>
    </row>
    <row r="21" s="18" customFormat="1" ht="14.25">
      <c r="F21" s="23"/>
    </row>
    <row r="22" s="18" customFormat="1" ht="14.25">
      <c r="F22" s="23"/>
    </row>
    <row r="23" s="18" customFormat="1" ht="14.25">
      <c r="F23" s="23"/>
    </row>
    <row r="24" s="18" customFormat="1" ht="14.25">
      <c r="F24" s="23"/>
    </row>
    <row r="25" s="18" customFormat="1" ht="14.25">
      <c r="F25" s="23"/>
    </row>
    <row r="26" s="18" customFormat="1" ht="14.25">
      <c r="F26" s="23"/>
    </row>
    <row r="27" s="18" customFormat="1" ht="14.25">
      <c r="F27" s="23"/>
    </row>
  </sheetData>
  <mergeCells count="1">
    <mergeCell ref="A1:R1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T36"/>
  <sheetViews>
    <sheetView zoomScalePageLayoutView="0" workbookViewId="0" topLeftCell="A1">
      <selection activeCell="M13" sqref="M13"/>
    </sheetView>
  </sheetViews>
  <sheetFormatPr defaultColWidth="9.140625" defaultRowHeight="15"/>
  <cols>
    <col min="1" max="1" width="5.140625" style="1" customWidth="1"/>
    <col min="2" max="2" width="19.00390625" style="1" customWidth="1"/>
    <col min="3" max="3" width="15.421875" style="1" customWidth="1"/>
    <col min="4" max="5" width="9.140625" style="1" customWidth="1"/>
    <col min="6" max="6" width="9.140625" style="6" customWidth="1"/>
    <col min="7" max="18" width="9.140625" style="1" customWidth="1"/>
    <col min="19" max="29" width="9.00390625" style="18" customWidth="1"/>
    <col min="30" max="16384" width="9.00390625" style="1" customWidth="1"/>
  </cols>
  <sheetData>
    <row r="1" spans="1:20" ht="32.25" customHeight="1" thickBot="1">
      <c r="A1" s="116" t="s">
        <v>40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8"/>
      <c r="S1" s="36"/>
      <c r="T1" s="36"/>
    </row>
    <row r="2" spans="1:20" ht="150" thickBot="1">
      <c r="A2" s="111" t="s">
        <v>215</v>
      </c>
      <c r="B2" s="50" t="s">
        <v>216</v>
      </c>
      <c r="C2" s="79" t="s">
        <v>0</v>
      </c>
      <c r="D2" s="75" t="s">
        <v>62</v>
      </c>
      <c r="E2" s="52" t="s">
        <v>63</v>
      </c>
      <c r="F2" s="52" t="s">
        <v>45</v>
      </c>
      <c r="G2" s="52" t="s">
        <v>46</v>
      </c>
      <c r="H2" s="52" t="s">
        <v>47</v>
      </c>
      <c r="I2" s="52" t="s">
        <v>48</v>
      </c>
      <c r="J2" s="52" t="s">
        <v>64</v>
      </c>
      <c r="K2" s="52" t="s">
        <v>65</v>
      </c>
      <c r="L2" s="52" t="s">
        <v>66</v>
      </c>
      <c r="M2" s="52" t="s">
        <v>67</v>
      </c>
      <c r="N2" s="52" t="s">
        <v>74</v>
      </c>
      <c r="O2" s="52" t="s">
        <v>75</v>
      </c>
      <c r="P2" s="52" t="s">
        <v>68</v>
      </c>
      <c r="Q2" s="61" t="s">
        <v>69</v>
      </c>
      <c r="R2" s="65" t="s">
        <v>1</v>
      </c>
      <c r="S2" s="34"/>
      <c r="T2" s="34"/>
    </row>
    <row r="3" spans="1:18" ht="14.25">
      <c r="A3" s="112" t="s">
        <v>217</v>
      </c>
      <c r="B3" s="80" t="s">
        <v>19</v>
      </c>
      <c r="C3" s="81" t="s">
        <v>42</v>
      </c>
      <c r="D3" s="88">
        <f>100-(29.47-26.48)/26.48*50</f>
        <v>94.35422960725076</v>
      </c>
      <c r="E3" s="17">
        <f>100-(86.47-76.58)/76.58*50</f>
        <v>93.54270044398015</v>
      </c>
      <c r="F3" s="17">
        <f>100-(64.9-62)/62*50</f>
        <v>97.66129032258064</v>
      </c>
      <c r="G3" s="17">
        <f>100-(74.43-67.2)/67.2*50</f>
        <v>94.62053571428571</v>
      </c>
      <c r="H3" s="17"/>
      <c r="I3" s="47"/>
      <c r="J3" s="17">
        <f>100-(30.05-25.85)/25.85*50</f>
        <v>91.8762088974855</v>
      </c>
      <c r="K3" s="17">
        <f>100-(67.27-57.32)/57.32*50</f>
        <v>91.32065596650384</v>
      </c>
      <c r="L3" s="47"/>
      <c r="M3" s="17"/>
      <c r="N3" s="17"/>
      <c r="O3" s="47"/>
      <c r="P3" s="17"/>
      <c r="Q3" s="62"/>
      <c r="R3" s="66">
        <f>SUM(D3:Q3)</f>
        <v>563.3756209520866</v>
      </c>
    </row>
    <row r="4" spans="1:18" ht="14.25">
      <c r="A4" s="99" t="s">
        <v>218</v>
      </c>
      <c r="B4" s="82" t="s">
        <v>28</v>
      </c>
      <c r="C4" s="83" t="s">
        <v>10</v>
      </c>
      <c r="D4" s="77"/>
      <c r="E4" s="2"/>
      <c r="F4" s="3"/>
      <c r="G4" s="2"/>
      <c r="H4" s="2"/>
      <c r="I4" s="2"/>
      <c r="J4" s="8">
        <f>100-(29.7-25.85)/25.85*50</f>
        <v>92.55319148936171</v>
      </c>
      <c r="K4" s="8">
        <f>100-(67.73-57.32)/57.32*50</f>
        <v>90.91939986043266</v>
      </c>
      <c r="L4" s="2"/>
      <c r="M4" s="4"/>
      <c r="N4" s="2"/>
      <c r="O4" s="2"/>
      <c r="P4" s="2"/>
      <c r="Q4" s="57"/>
      <c r="R4" s="67">
        <f>SUM(D4:Q4)</f>
        <v>183.47259134979436</v>
      </c>
    </row>
    <row r="5" spans="1:18" ht="15" thickBot="1">
      <c r="A5" s="100" t="s">
        <v>219</v>
      </c>
      <c r="B5" s="84" t="s">
        <v>8</v>
      </c>
      <c r="C5" s="85" t="s">
        <v>72</v>
      </c>
      <c r="D5" s="92">
        <f>100-(30.35-26.48)/26.48*50</f>
        <v>92.69259818731118</v>
      </c>
      <c r="E5" s="41">
        <f>100-(91.63-76.58)/76.58*50</f>
        <v>90.17367458866545</v>
      </c>
      <c r="F5" s="45"/>
      <c r="G5" s="41"/>
      <c r="H5" s="41"/>
      <c r="I5" s="41"/>
      <c r="J5" s="41"/>
      <c r="K5" s="41"/>
      <c r="L5" s="41"/>
      <c r="M5" s="45"/>
      <c r="N5" s="41"/>
      <c r="O5" s="45"/>
      <c r="P5" s="45"/>
      <c r="Q5" s="87"/>
      <c r="R5" s="68">
        <f>SUM(D5:Q5)</f>
        <v>182.86627277597663</v>
      </c>
    </row>
    <row r="6" spans="1:18" ht="14.25">
      <c r="A6" s="18"/>
      <c r="B6" s="18"/>
      <c r="C6" s="18"/>
      <c r="D6" s="19"/>
      <c r="E6" s="19"/>
      <c r="F6" s="20"/>
      <c r="G6" s="19"/>
      <c r="H6" s="19"/>
      <c r="I6" s="19"/>
      <c r="J6" s="19"/>
      <c r="K6" s="19"/>
      <c r="L6" s="19"/>
      <c r="M6" s="20"/>
      <c r="N6" s="19"/>
      <c r="O6" s="20"/>
      <c r="P6" s="20"/>
      <c r="Q6" s="19"/>
      <c r="R6" s="22"/>
    </row>
    <row r="7" spans="1:18" ht="14.25">
      <c r="A7" s="18"/>
      <c r="B7" s="18"/>
      <c r="C7" s="18"/>
      <c r="D7" s="19"/>
      <c r="E7" s="19"/>
      <c r="F7" s="20"/>
      <c r="G7" s="19"/>
      <c r="H7" s="19"/>
      <c r="I7" s="19"/>
      <c r="J7" s="19"/>
      <c r="K7" s="19"/>
      <c r="L7" s="19"/>
      <c r="M7" s="20"/>
      <c r="N7" s="19"/>
      <c r="O7" s="20"/>
      <c r="P7" s="20"/>
      <c r="Q7" s="19"/>
      <c r="R7" s="22"/>
    </row>
    <row r="8" spans="1:18" ht="14.25">
      <c r="A8" s="2"/>
      <c r="B8" s="2" t="s">
        <v>73</v>
      </c>
      <c r="C8" s="2" t="s">
        <v>72</v>
      </c>
      <c r="D8" s="8">
        <f>100-(33.53-26.48)/26.48*50</f>
        <v>86.6880664652568</v>
      </c>
      <c r="E8" s="8">
        <f>100-(124.15-76.58)/76.58*50</f>
        <v>68.94097675633324</v>
      </c>
      <c r="F8" s="7"/>
      <c r="G8" s="8"/>
      <c r="H8" s="7"/>
      <c r="I8" s="8"/>
      <c r="J8" s="8"/>
      <c r="K8" s="7"/>
      <c r="L8" s="8"/>
      <c r="M8" s="8"/>
      <c r="N8" s="8"/>
      <c r="O8" s="8"/>
      <c r="P8" s="8"/>
      <c r="Q8" s="8"/>
      <c r="R8" s="14">
        <f>SUM(D8:Q8)</f>
        <v>155.62904322159005</v>
      </c>
    </row>
    <row r="9" spans="1:18" ht="14.25">
      <c r="A9" s="18"/>
      <c r="B9" s="18"/>
      <c r="C9" s="18"/>
      <c r="D9" s="23"/>
      <c r="E9" s="18"/>
      <c r="F9" s="23"/>
      <c r="G9" s="18"/>
      <c r="H9" s="18"/>
      <c r="I9" s="18"/>
      <c r="J9" s="23"/>
      <c r="K9" s="23"/>
      <c r="L9" s="18"/>
      <c r="M9" s="102"/>
      <c r="N9" s="18"/>
      <c r="O9" s="18"/>
      <c r="P9" s="18"/>
      <c r="Q9" s="18"/>
      <c r="R9" s="18"/>
    </row>
    <row r="10" s="32" customFormat="1" ht="14.25">
      <c r="A10" s="32" t="s">
        <v>212</v>
      </c>
    </row>
    <row r="11" s="33" customFormat="1" ht="14.25">
      <c r="A11" s="33" t="s">
        <v>124</v>
      </c>
    </row>
    <row r="12" s="32" customFormat="1" ht="14.25">
      <c r="A12" s="32" t="s">
        <v>214</v>
      </c>
    </row>
    <row r="13" spans="1:18" ht="14.25">
      <c r="A13" s="18"/>
      <c r="B13" s="18"/>
      <c r="C13" s="18"/>
      <c r="D13" s="18"/>
      <c r="E13" s="18"/>
      <c r="F13" s="23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18" ht="14.25">
      <c r="A14" s="18"/>
      <c r="B14" s="18"/>
      <c r="C14" s="18"/>
      <c r="D14" s="18"/>
      <c r="E14" s="18"/>
      <c r="F14" s="23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spans="1:18" ht="14.25">
      <c r="A15" s="18"/>
      <c r="B15" s="18"/>
      <c r="C15" s="18"/>
      <c r="D15" s="18"/>
      <c r="E15" s="18"/>
      <c r="F15" s="23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</row>
    <row r="16" spans="1:18" ht="14.25">
      <c r="A16" s="18"/>
      <c r="B16" s="18"/>
      <c r="C16" s="18"/>
      <c r="D16" s="18"/>
      <c r="E16" s="18"/>
      <c r="F16" s="23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</row>
    <row r="17" s="18" customFormat="1" ht="14.25">
      <c r="F17" s="23"/>
    </row>
    <row r="18" s="18" customFormat="1" ht="14.25">
      <c r="F18" s="23"/>
    </row>
    <row r="19" s="18" customFormat="1" ht="14.25">
      <c r="F19" s="23"/>
    </row>
    <row r="20" s="18" customFormat="1" ht="14.25">
      <c r="F20" s="23"/>
    </row>
    <row r="21" s="18" customFormat="1" ht="14.25">
      <c r="F21" s="23"/>
    </row>
    <row r="22" s="18" customFormat="1" ht="14.25">
      <c r="F22" s="23"/>
    </row>
    <row r="23" s="18" customFormat="1" ht="14.25">
      <c r="F23" s="23"/>
    </row>
    <row r="24" s="18" customFormat="1" ht="14.25">
      <c r="F24" s="23"/>
    </row>
    <row r="25" s="18" customFormat="1" ht="14.25">
      <c r="F25" s="23"/>
    </row>
    <row r="26" s="18" customFormat="1" ht="14.25">
      <c r="F26" s="23"/>
    </row>
    <row r="27" s="18" customFormat="1" ht="14.25">
      <c r="F27" s="23"/>
    </row>
    <row r="28" s="18" customFormat="1" ht="14.25">
      <c r="F28" s="23"/>
    </row>
    <row r="29" s="18" customFormat="1" ht="14.25">
      <c r="F29" s="23"/>
    </row>
    <row r="30" s="18" customFormat="1" ht="14.25">
      <c r="F30" s="23"/>
    </row>
    <row r="31" s="18" customFormat="1" ht="14.25">
      <c r="F31" s="23"/>
    </row>
    <row r="32" s="18" customFormat="1" ht="14.25">
      <c r="F32" s="23"/>
    </row>
    <row r="33" s="18" customFormat="1" ht="14.25">
      <c r="F33" s="23"/>
    </row>
    <row r="34" s="18" customFormat="1" ht="14.25">
      <c r="F34" s="23"/>
    </row>
    <row r="35" s="18" customFormat="1" ht="14.25">
      <c r="F35" s="23"/>
    </row>
    <row r="36" s="18" customFormat="1" ht="14.25">
      <c r="F36" s="23"/>
    </row>
  </sheetData>
  <sheetProtection/>
  <autoFilter ref="B2:R2">
    <sortState ref="B3:R36">
      <sortCondition descending="1" sortBy="value" ref="Q3:Q36"/>
    </sortState>
  </autoFilter>
  <mergeCells count="1">
    <mergeCell ref="A1:R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36"/>
  <sheetViews>
    <sheetView zoomScalePageLayoutView="0" workbookViewId="0" topLeftCell="A1">
      <selection activeCell="H19" sqref="H19"/>
    </sheetView>
  </sheetViews>
  <sheetFormatPr defaultColWidth="9.140625" defaultRowHeight="15"/>
  <cols>
    <col min="1" max="1" width="4.8515625" style="1" customWidth="1"/>
    <col min="2" max="2" width="17.8515625" style="1" customWidth="1"/>
    <col min="3" max="3" width="15.421875" style="1" customWidth="1"/>
    <col min="4" max="5" width="9.140625" style="1" customWidth="1"/>
    <col min="6" max="6" width="9.140625" style="6" customWidth="1"/>
    <col min="7" max="18" width="9.140625" style="1" customWidth="1"/>
    <col min="19" max="21" width="9.00390625" style="18" customWidth="1"/>
    <col min="22" max="16384" width="9.00390625" style="1" customWidth="1"/>
  </cols>
  <sheetData>
    <row r="1" spans="1:20" ht="31.5" customHeight="1" thickBot="1">
      <c r="A1" s="116" t="s">
        <v>40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8"/>
      <c r="S1" s="36"/>
      <c r="T1" s="36"/>
    </row>
    <row r="2" spans="1:20" ht="150" thickBot="1">
      <c r="A2" s="97" t="s">
        <v>215</v>
      </c>
      <c r="B2" s="50" t="s">
        <v>216</v>
      </c>
      <c r="C2" s="79" t="s">
        <v>0</v>
      </c>
      <c r="D2" s="75" t="s">
        <v>62</v>
      </c>
      <c r="E2" s="52" t="s">
        <v>63</v>
      </c>
      <c r="F2" s="52" t="s">
        <v>45</v>
      </c>
      <c r="G2" s="52" t="s">
        <v>46</v>
      </c>
      <c r="H2" s="52" t="s">
        <v>47</v>
      </c>
      <c r="I2" s="52" t="s">
        <v>48</v>
      </c>
      <c r="J2" s="52" t="s">
        <v>64</v>
      </c>
      <c r="K2" s="52" t="s">
        <v>65</v>
      </c>
      <c r="L2" s="52" t="s">
        <v>66</v>
      </c>
      <c r="M2" s="52" t="s">
        <v>67</v>
      </c>
      <c r="N2" s="52" t="s">
        <v>74</v>
      </c>
      <c r="O2" s="52" t="s">
        <v>75</v>
      </c>
      <c r="P2" s="52" t="s">
        <v>68</v>
      </c>
      <c r="Q2" s="61" t="s">
        <v>69</v>
      </c>
      <c r="R2" s="65" t="s">
        <v>1</v>
      </c>
      <c r="S2" s="34"/>
      <c r="T2" s="34"/>
    </row>
    <row r="3" spans="1:18" ht="14.25">
      <c r="A3" s="98" t="s">
        <v>217</v>
      </c>
      <c r="B3" s="80" t="s">
        <v>15</v>
      </c>
      <c r="C3" s="81" t="s">
        <v>42</v>
      </c>
      <c r="D3" s="113">
        <f>100-(32.5-29.72)/29.72*50</f>
        <v>95.32301480484522</v>
      </c>
      <c r="E3" s="17">
        <f>100-(90.83-88)/88*50</f>
        <v>98.39204545454545</v>
      </c>
      <c r="F3" s="17">
        <f>100-(67.37-67.37)/67.37*50</f>
        <v>100</v>
      </c>
      <c r="G3" s="17">
        <f>100-(67.6-67.6)/67.6*50</f>
        <v>100</v>
      </c>
      <c r="H3" s="17">
        <f>100-(41.88-41.88)/41.88*50</f>
        <v>100</v>
      </c>
      <c r="I3" s="17"/>
      <c r="J3" s="17">
        <f>100-(30.2-30.2)/30.2*50</f>
        <v>100</v>
      </c>
      <c r="K3" s="48">
        <f>100-(78.57-71.12)/71.12*50</f>
        <v>94.76237345331835</v>
      </c>
      <c r="L3" s="17"/>
      <c r="M3" s="17"/>
      <c r="N3" s="17">
        <f>100-(61.57-57.27)/57.27*50</f>
        <v>96.24585297712589</v>
      </c>
      <c r="O3" s="17">
        <f>100-(64.28-64.28)/64.28*50</f>
        <v>100</v>
      </c>
      <c r="P3" s="47"/>
      <c r="Q3" s="62"/>
      <c r="R3" s="66">
        <f>SUM(D3:Q3)-D3-K3</f>
        <v>694.6378984316713</v>
      </c>
    </row>
    <row r="4" spans="1:18" ht="14.25">
      <c r="A4" s="99" t="s">
        <v>218</v>
      </c>
      <c r="B4" s="82" t="s">
        <v>18</v>
      </c>
      <c r="C4" s="83" t="s">
        <v>23</v>
      </c>
      <c r="D4" s="89"/>
      <c r="E4" s="8"/>
      <c r="F4" s="7"/>
      <c r="G4" s="8"/>
      <c r="H4" s="13" t="s">
        <v>213</v>
      </c>
      <c r="I4" s="8">
        <f>100-(87.17-87.17)/87.17*50</f>
        <v>100</v>
      </c>
      <c r="J4" s="8">
        <f>100-(30.23-30.2)/30.2*50</f>
        <v>99.95033112582782</v>
      </c>
      <c r="K4" s="8">
        <f>100-(71.12-71.12)/71.12*50</f>
        <v>100</v>
      </c>
      <c r="L4" s="8">
        <f>100-(28.83-28.83)/28.83*50</f>
        <v>100</v>
      </c>
      <c r="M4" s="8">
        <f>100-(130.32-125.28)/125.28*50</f>
        <v>97.98850574712644</v>
      </c>
      <c r="N4" s="8"/>
      <c r="O4" s="8"/>
      <c r="P4" s="8">
        <f>100-(40.7-36.5)/36.5*50</f>
        <v>94.24657534246575</v>
      </c>
      <c r="Q4" s="56">
        <f>100-(45.32-43.4)/43.4*50</f>
        <v>97.78801843317972</v>
      </c>
      <c r="R4" s="67">
        <f>SUM(D4:Q4)</f>
        <v>689.9734306485997</v>
      </c>
    </row>
    <row r="5" spans="1:18" ht="14.25">
      <c r="A5" s="99" t="s">
        <v>219</v>
      </c>
      <c r="B5" s="82" t="s">
        <v>70</v>
      </c>
      <c r="C5" s="83" t="s">
        <v>6</v>
      </c>
      <c r="D5" s="114">
        <f>100-(39.92-29.72)/29.72*50</f>
        <v>82.83983849259758</v>
      </c>
      <c r="E5" s="8">
        <f>100-(107.02-88)/88*50</f>
        <v>89.19318181818181</v>
      </c>
      <c r="F5" s="7"/>
      <c r="G5" s="8"/>
      <c r="H5" s="8">
        <f>100-(52.15-41.88)/41.88*50</f>
        <v>87.73877745940784</v>
      </c>
      <c r="I5" s="12">
        <f>100-(117.43-87.17)/87.17*50</f>
        <v>82.64311116209706</v>
      </c>
      <c r="J5" s="12">
        <f>100-(41.2-30.2)/30.2*50</f>
        <v>81.78807947019867</v>
      </c>
      <c r="K5" s="8">
        <f>100-(82.22-71.12)/71.12*50</f>
        <v>92.19628796400451</v>
      </c>
      <c r="L5" s="8">
        <f>100-(30.72-28.83)/28.83*50</f>
        <v>96.72216441207075</v>
      </c>
      <c r="M5" s="8">
        <f>100-(158.4-125.28)/125.28*50</f>
        <v>86.7816091954023</v>
      </c>
      <c r="N5" s="8"/>
      <c r="O5" s="8"/>
      <c r="P5" s="8">
        <f>100-(46.37-36.5)/36.5*50</f>
        <v>86.47945205479452</v>
      </c>
      <c r="Q5" s="56">
        <f>100-(56.43-43.4)/43.4*50</f>
        <v>84.98847926267281</v>
      </c>
      <c r="R5" s="67">
        <f>SUM(D5:Q5)-J5-D5-I5</f>
        <v>624.0999521665346</v>
      </c>
    </row>
    <row r="6" spans="1:18" ht="14.25">
      <c r="A6" s="99" t="s">
        <v>220</v>
      </c>
      <c r="B6" s="82" t="s">
        <v>37</v>
      </c>
      <c r="C6" s="83" t="s">
        <v>42</v>
      </c>
      <c r="D6" s="89"/>
      <c r="E6" s="8"/>
      <c r="F6" s="13" t="s">
        <v>213</v>
      </c>
      <c r="G6" s="8">
        <f>100-(96.82-67.6)/67.6*50</f>
        <v>78.38757396449704</v>
      </c>
      <c r="H6" s="8"/>
      <c r="I6" s="8"/>
      <c r="J6" s="8">
        <f>100-(35.27-30.2)/30.2*50</f>
        <v>91.60596026490066</v>
      </c>
      <c r="K6" s="13" t="s">
        <v>213</v>
      </c>
      <c r="L6" s="8">
        <f>100-(33.53-28.83)/28.83*50</f>
        <v>91.84876864377384</v>
      </c>
      <c r="M6" s="8">
        <f>100-(145.98-125.28)/125.28*50</f>
        <v>91.73850574712644</v>
      </c>
      <c r="N6" s="8">
        <f>100-(80.42-57.27)/57.27*50</f>
        <v>79.78872009778243</v>
      </c>
      <c r="O6" s="8"/>
      <c r="P6" s="8">
        <f>100-(44.5-36.5)/36.5*50</f>
        <v>89.04109589041096</v>
      </c>
      <c r="Q6" s="56">
        <f>100-(43.4-43.4)/43.4*50</f>
        <v>100</v>
      </c>
      <c r="R6" s="67">
        <f>SUM(D6:Q6)</f>
        <v>622.4106246084914</v>
      </c>
    </row>
    <row r="7" spans="1:18" ht="14.25">
      <c r="A7" s="99" t="s">
        <v>221</v>
      </c>
      <c r="B7" s="82" t="s">
        <v>71</v>
      </c>
      <c r="C7" s="83" t="s">
        <v>25</v>
      </c>
      <c r="D7" s="89">
        <f>100-(30.35-29.72)/29.72*50</f>
        <v>98.94010767160161</v>
      </c>
      <c r="E7" s="8">
        <f>100-(88-88)/88*50</f>
        <v>100</v>
      </c>
      <c r="F7" s="8">
        <f>100-(71.9-67.37)/67.37*50</f>
        <v>96.63796942259165</v>
      </c>
      <c r="G7" s="8">
        <f>100-(68.17-67.6)/67.6*50</f>
        <v>99.5784023668639</v>
      </c>
      <c r="H7" s="8"/>
      <c r="I7" s="8"/>
      <c r="J7" s="8"/>
      <c r="K7" s="8"/>
      <c r="L7" s="8"/>
      <c r="M7" s="8"/>
      <c r="N7" s="8"/>
      <c r="O7" s="8"/>
      <c r="P7" s="8">
        <f>100-(36.5-36.5)/36.5*50</f>
        <v>100</v>
      </c>
      <c r="Q7" s="56"/>
      <c r="R7" s="67">
        <f>SUM(D7:Q7)</f>
        <v>495.15647946105713</v>
      </c>
    </row>
    <row r="8" spans="1:18" ht="14.25">
      <c r="A8" s="99" t="s">
        <v>222</v>
      </c>
      <c r="B8" s="82" t="s">
        <v>39</v>
      </c>
      <c r="C8" s="83" t="s">
        <v>38</v>
      </c>
      <c r="D8" s="89"/>
      <c r="E8" s="8">
        <f>100-(95.43-88)/88*50</f>
        <v>95.7784090909091</v>
      </c>
      <c r="F8" s="7"/>
      <c r="G8" s="8"/>
      <c r="H8" s="8"/>
      <c r="I8" s="7"/>
      <c r="J8" s="8">
        <f>100-(30.38-30.2)/30.2*50</f>
        <v>99.70198675496688</v>
      </c>
      <c r="K8" s="8">
        <f>100-(71.6-71.12)/71.12*50</f>
        <v>99.66254218222723</v>
      </c>
      <c r="L8" s="7"/>
      <c r="M8" s="8">
        <f>100-(126.53-125.28)/125.28*50</f>
        <v>99.50111749680715</v>
      </c>
      <c r="N8" s="8">
        <f>100-(72.17-57.27)/57.27*50</f>
        <v>86.99144403701763</v>
      </c>
      <c r="O8" s="8"/>
      <c r="P8" s="8"/>
      <c r="Q8" s="56"/>
      <c r="R8" s="67">
        <f>SUM(D8:Q8)</f>
        <v>481.63549956192804</v>
      </c>
    </row>
    <row r="9" spans="1:18" ht="14.25">
      <c r="A9" s="99" t="s">
        <v>223</v>
      </c>
      <c r="B9" s="82" t="s">
        <v>43</v>
      </c>
      <c r="C9" s="83" t="s">
        <v>31</v>
      </c>
      <c r="D9" s="89"/>
      <c r="E9" s="8">
        <f>100-(148.77-88)/88*50</f>
        <v>65.4715909090909</v>
      </c>
      <c r="F9" s="7"/>
      <c r="G9" s="8"/>
      <c r="H9" s="8">
        <f>100-(71.03-41.88)/41.88*50</f>
        <v>65.1981852913085</v>
      </c>
      <c r="I9" s="8">
        <f>100-(122.82-87.17)/87.17*50</f>
        <v>79.55145118733509</v>
      </c>
      <c r="J9" s="8">
        <f>100-(50.92-30.2)/30.2*50</f>
        <v>65.69536423841059</v>
      </c>
      <c r="K9" s="8">
        <f>100-(94.72-71.12)/71.12*50</f>
        <v>83.40832395950507</v>
      </c>
      <c r="L9" s="12">
        <f>100-(65.53-28.83)/28.83*50</f>
        <v>36.35102323968088</v>
      </c>
      <c r="M9" s="8">
        <f>100-(169.4-25.28)/125.28*50</f>
        <v>42.48084291187739</v>
      </c>
      <c r="N9" s="8">
        <f>100-(102.22-57.27)/57.27*50</f>
        <v>60.75606774925791</v>
      </c>
      <c r="O9" s="13" t="s">
        <v>213</v>
      </c>
      <c r="P9" s="8"/>
      <c r="Q9" s="56"/>
      <c r="R9" s="67">
        <f>SUM(D9:Q9)-L9</f>
        <v>462.5618262467855</v>
      </c>
    </row>
    <row r="10" spans="1:18" ht="14.25">
      <c r="A10" s="99" t="s">
        <v>224</v>
      </c>
      <c r="B10" s="82" t="s">
        <v>100</v>
      </c>
      <c r="C10" s="83" t="s">
        <v>78</v>
      </c>
      <c r="D10" s="35"/>
      <c r="E10" s="2"/>
      <c r="F10" s="3"/>
      <c r="G10" s="2"/>
      <c r="H10" s="2"/>
      <c r="I10" s="2"/>
      <c r="J10" s="2"/>
      <c r="K10" s="2"/>
      <c r="L10" s="8">
        <f>100-(30.47-28.83)/28.83*50</f>
        <v>97.15574054804023</v>
      </c>
      <c r="M10" s="8">
        <f>100-(134.5-125.28)/125.28*50</f>
        <v>96.32024265644955</v>
      </c>
      <c r="N10" s="2"/>
      <c r="O10" s="2"/>
      <c r="P10" s="8">
        <f>100-(43.65-36.5)/36.5*50</f>
        <v>90.20547945205479</v>
      </c>
      <c r="Q10" s="56">
        <f>100-(56.42-43.4)/43.4*50</f>
        <v>85</v>
      </c>
      <c r="R10" s="67">
        <f aca="true" t="shared" si="0" ref="R10:R27">SUM(D10:Q10)</f>
        <v>368.68146265654457</v>
      </c>
    </row>
    <row r="11" spans="1:18" ht="14.25">
      <c r="A11" s="99" t="s">
        <v>225</v>
      </c>
      <c r="B11" s="82" t="s">
        <v>120</v>
      </c>
      <c r="C11" s="83" t="s">
        <v>121</v>
      </c>
      <c r="D11" s="35"/>
      <c r="E11" s="2"/>
      <c r="F11" s="3"/>
      <c r="G11" s="2"/>
      <c r="H11" s="2"/>
      <c r="I11" s="2"/>
      <c r="J11" s="2"/>
      <c r="K11" s="2"/>
      <c r="L11" s="2"/>
      <c r="M11" s="8">
        <f>100-(145.37-125.28)/125.28*50</f>
        <v>91.98196040868454</v>
      </c>
      <c r="N11" s="2"/>
      <c r="O11" s="2"/>
      <c r="P11" s="8">
        <f>100-(47.2-36.5)/36.5*50</f>
        <v>85.34246575342465</v>
      </c>
      <c r="Q11" s="56">
        <f>100-(48.13-43.4)/43.4*50</f>
        <v>94.55069124423963</v>
      </c>
      <c r="R11" s="67">
        <f t="shared" si="0"/>
        <v>271.87511740634886</v>
      </c>
    </row>
    <row r="12" spans="1:18" ht="14.25">
      <c r="A12" s="99" t="s">
        <v>226</v>
      </c>
      <c r="B12" s="82" t="s">
        <v>85</v>
      </c>
      <c r="C12" s="83" t="s">
        <v>10</v>
      </c>
      <c r="D12" s="35"/>
      <c r="E12" s="2"/>
      <c r="F12" s="3"/>
      <c r="G12" s="2"/>
      <c r="H12" s="2"/>
      <c r="I12" s="2"/>
      <c r="J12" s="2"/>
      <c r="K12" s="2"/>
      <c r="L12" s="2"/>
      <c r="M12" s="2"/>
      <c r="N12" s="8">
        <f>100-(57.27-57.27)/57.27*50</f>
        <v>100</v>
      </c>
      <c r="O12" s="8">
        <f>100-(68.07-64.28)/64.28*50</f>
        <v>97.05196017423772</v>
      </c>
      <c r="P12" s="2"/>
      <c r="Q12" s="57"/>
      <c r="R12" s="67">
        <f t="shared" si="0"/>
        <v>197.0519601742377</v>
      </c>
    </row>
    <row r="13" spans="1:18" ht="14.25">
      <c r="A13" s="99" t="s">
        <v>227</v>
      </c>
      <c r="B13" s="82" t="s">
        <v>2</v>
      </c>
      <c r="C13" s="83" t="s">
        <v>3</v>
      </c>
      <c r="D13" s="89">
        <f>100-(29.72-29.72)/29.72*50</f>
        <v>100</v>
      </c>
      <c r="E13" s="8"/>
      <c r="F13" s="7"/>
      <c r="G13" s="8"/>
      <c r="H13" s="8"/>
      <c r="I13" s="8"/>
      <c r="J13" s="8"/>
      <c r="K13" s="8"/>
      <c r="L13" s="8"/>
      <c r="M13" s="8"/>
      <c r="N13" s="8"/>
      <c r="O13" s="8"/>
      <c r="P13" s="8">
        <f>100-(39.13-36.5)/36.5*50</f>
        <v>96.3972602739726</v>
      </c>
      <c r="Q13" s="56"/>
      <c r="R13" s="67">
        <f t="shared" si="0"/>
        <v>196.39726027397262</v>
      </c>
    </row>
    <row r="14" spans="1:18" ht="14.25">
      <c r="A14" s="99" t="s">
        <v>228</v>
      </c>
      <c r="B14" s="82" t="s">
        <v>33</v>
      </c>
      <c r="C14" s="83" t="s">
        <v>38</v>
      </c>
      <c r="D14" s="89"/>
      <c r="E14" s="8">
        <f>100-(103.68-88)/88*50</f>
        <v>91.0909090909091</v>
      </c>
      <c r="F14" s="7"/>
      <c r="G14" s="8"/>
      <c r="H14" s="8"/>
      <c r="I14" s="8"/>
      <c r="J14" s="8"/>
      <c r="K14" s="8"/>
      <c r="L14" s="8"/>
      <c r="M14" s="8">
        <f>100-(125.28-125.28)/125.28*50</f>
        <v>100</v>
      </c>
      <c r="N14" s="8"/>
      <c r="O14" s="8"/>
      <c r="P14" s="8"/>
      <c r="Q14" s="56"/>
      <c r="R14" s="67">
        <f t="shared" si="0"/>
        <v>191.0909090909091</v>
      </c>
    </row>
    <row r="15" spans="1:18" ht="14.25">
      <c r="A15" s="99" t="s">
        <v>229</v>
      </c>
      <c r="B15" s="82" t="s">
        <v>101</v>
      </c>
      <c r="C15" s="83" t="s">
        <v>84</v>
      </c>
      <c r="D15" s="35"/>
      <c r="E15" s="2"/>
      <c r="F15" s="3"/>
      <c r="G15" s="2"/>
      <c r="H15" s="2"/>
      <c r="I15" s="2"/>
      <c r="J15" s="2"/>
      <c r="K15" s="2"/>
      <c r="L15" s="8">
        <f>100-(31.65-28.83)/28.83*50</f>
        <v>95.1092611862643</v>
      </c>
      <c r="M15" s="8">
        <f>100-(139.75-125.28)/125.28*50</f>
        <v>94.2249361430396</v>
      </c>
      <c r="N15" s="2"/>
      <c r="O15" s="2"/>
      <c r="P15" s="2"/>
      <c r="Q15" s="57"/>
      <c r="R15" s="67">
        <f t="shared" si="0"/>
        <v>189.3341973293039</v>
      </c>
    </row>
    <row r="16" spans="1:18" ht="14.25">
      <c r="A16" s="99" t="s">
        <v>230</v>
      </c>
      <c r="B16" s="82" t="s">
        <v>83</v>
      </c>
      <c r="C16" s="83" t="s">
        <v>84</v>
      </c>
      <c r="D16" s="35"/>
      <c r="E16" s="2"/>
      <c r="F16" s="3"/>
      <c r="G16" s="2"/>
      <c r="H16" s="2"/>
      <c r="I16" s="2"/>
      <c r="J16" s="8">
        <f>100-(37.27-30.2)/30.2*50</f>
        <v>88.29470198675496</v>
      </c>
      <c r="K16" s="8">
        <f>100-(83.95-71.12)/71.12*50</f>
        <v>90.98003374578178</v>
      </c>
      <c r="L16" s="2"/>
      <c r="M16" s="2"/>
      <c r="N16" s="2"/>
      <c r="O16" s="2"/>
      <c r="P16" s="2"/>
      <c r="Q16" s="57"/>
      <c r="R16" s="67">
        <f t="shared" si="0"/>
        <v>179.27473573253673</v>
      </c>
    </row>
    <row r="17" spans="1:18" ht="14.25">
      <c r="A17" s="99" t="s">
        <v>231</v>
      </c>
      <c r="B17" s="82" t="s">
        <v>102</v>
      </c>
      <c r="C17" s="83" t="s">
        <v>23</v>
      </c>
      <c r="D17" s="35"/>
      <c r="E17" s="2"/>
      <c r="F17" s="3"/>
      <c r="G17" s="2"/>
      <c r="H17" s="2"/>
      <c r="I17" s="2"/>
      <c r="J17" s="2"/>
      <c r="K17" s="2"/>
      <c r="L17" s="8">
        <f>100-(38.42-28.83)/28.83*50</f>
        <v>83.36801942421089</v>
      </c>
      <c r="M17" s="8">
        <f>100-(143.85-125.28)/125.28*50</f>
        <v>92.58860153256705</v>
      </c>
      <c r="N17" s="2"/>
      <c r="O17" s="2"/>
      <c r="P17" s="2"/>
      <c r="Q17" s="57"/>
      <c r="R17" s="67">
        <f t="shared" si="0"/>
        <v>175.95662095677795</v>
      </c>
    </row>
    <row r="18" spans="1:18" ht="14.25">
      <c r="A18" s="99" t="s">
        <v>232</v>
      </c>
      <c r="B18" s="82" t="s">
        <v>30</v>
      </c>
      <c r="C18" s="83" t="s">
        <v>38</v>
      </c>
      <c r="D18" s="89"/>
      <c r="E18" s="8">
        <f>100-(135.27-88)/88*50</f>
        <v>73.14204545454545</v>
      </c>
      <c r="F18" s="7"/>
      <c r="G18" s="8"/>
      <c r="H18" s="8"/>
      <c r="I18" s="8"/>
      <c r="J18" s="8"/>
      <c r="K18" s="8">
        <f>100-(91.53-71.12)/71.12*50</f>
        <v>85.65101237345333</v>
      </c>
      <c r="L18" s="8"/>
      <c r="M18" s="8"/>
      <c r="N18" s="8"/>
      <c r="O18" s="8"/>
      <c r="P18" s="8"/>
      <c r="Q18" s="56"/>
      <c r="R18" s="67">
        <f t="shared" si="0"/>
        <v>158.79305782799878</v>
      </c>
    </row>
    <row r="19" spans="1:18" ht="14.25">
      <c r="A19" s="99" t="s">
        <v>233</v>
      </c>
      <c r="B19" s="82" t="s">
        <v>104</v>
      </c>
      <c r="C19" s="83" t="s">
        <v>105</v>
      </c>
      <c r="D19" s="35"/>
      <c r="E19" s="2"/>
      <c r="F19" s="3"/>
      <c r="G19" s="2"/>
      <c r="H19" s="2"/>
      <c r="I19" s="2"/>
      <c r="J19" s="2"/>
      <c r="K19" s="2"/>
      <c r="L19" s="8">
        <f>100-(47.48-28.83)/28.83*50</f>
        <v>67.65522025667707</v>
      </c>
      <c r="M19" s="8">
        <f>100-(227.18-125.28)/125.28*50</f>
        <v>59.33109833971903</v>
      </c>
      <c r="N19" s="2"/>
      <c r="O19" s="2"/>
      <c r="P19" s="2"/>
      <c r="Q19" s="57"/>
      <c r="R19" s="67">
        <f t="shared" si="0"/>
        <v>126.9863185963961</v>
      </c>
    </row>
    <row r="20" spans="1:18" ht="14.25">
      <c r="A20" s="99" t="s">
        <v>234</v>
      </c>
      <c r="B20" s="82" t="s">
        <v>158</v>
      </c>
      <c r="C20" s="83" t="s">
        <v>10</v>
      </c>
      <c r="D20" s="35"/>
      <c r="E20" s="2"/>
      <c r="F20" s="3"/>
      <c r="G20" s="2"/>
      <c r="H20" s="2"/>
      <c r="I20" s="2"/>
      <c r="J20" s="2"/>
      <c r="K20" s="2"/>
      <c r="L20" s="8"/>
      <c r="M20" s="2"/>
      <c r="N20" s="2"/>
      <c r="O20" s="2"/>
      <c r="P20" s="8">
        <f>100-(41.92-36.5)/36.5*50</f>
        <v>92.57534246575342</v>
      </c>
      <c r="Q20" s="57"/>
      <c r="R20" s="67">
        <f t="shared" si="0"/>
        <v>92.57534246575342</v>
      </c>
    </row>
    <row r="21" spans="1:18" ht="14.25">
      <c r="A21" s="99" t="s">
        <v>235</v>
      </c>
      <c r="B21" s="82" t="s">
        <v>122</v>
      </c>
      <c r="C21" s="83" t="s">
        <v>114</v>
      </c>
      <c r="D21" s="35"/>
      <c r="E21" s="2"/>
      <c r="F21" s="3"/>
      <c r="G21" s="2"/>
      <c r="H21" s="2"/>
      <c r="I21" s="2"/>
      <c r="J21" s="2"/>
      <c r="K21" s="2"/>
      <c r="L21" s="2"/>
      <c r="M21" s="8">
        <f>100-(149.38-125.28)/125.28*50</f>
        <v>90.3815453384419</v>
      </c>
      <c r="N21" s="2"/>
      <c r="O21" s="2"/>
      <c r="P21" s="2"/>
      <c r="Q21" s="57"/>
      <c r="R21" s="67">
        <f t="shared" si="0"/>
        <v>90.3815453384419</v>
      </c>
    </row>
    <row r="22" spans="1:18" ht="14.25">
      <c r="A22" s="99" t="s">
        <v>236</v>
      </c>
      <c r="B22" s="82" t="s">
        <v>125</v>
      </c>
      <c r="C22" s="83" t="s">
        <v>78</v>
      </c>
      <c r="D22" s="35"/>
      <c r="E22" s="2"/>
      <c r="F22" s="3"/>
      <c r="G22" s="2"/>
      <c r="H22" s="2"/>
      <c r="I22" s="2"/>
      <c r="J22" s="2"/>
      <c r="K22" s="2"/>
      <c r="L22" s="2"/>
      <c r="M22" s="8">
        <f>100-(165.1-125.28)/125.28*50</f>
        <v>84.10759897828864</v>
      </c>
      <c r="N22" s="2"/>
      <c r="O22" s="2"/>
      <c r="P22" s="2"/>
      <c r="Q22" s="57"/>
      <c r="R22" s="67">
        <f t="shared" si="0"/>
        <v>84.10759897828864</v>
      </c>
    </row>
    <row r="23" spans="1:18" ht="14.25">
      <c r="A23" s="99" t="s">
        <v>237</v>
      </c>
      <c r="B23" s="82" t="s">
        <v>140</v>
      </c>
      <c r="C23" s="83" t="s">
        <v>3</v>
      </c>
      <c r="D23" s="35"/>
      <c r="E23" s="2"/>
      <c r="F23" s="3"/>
      <c r="G23" s="2"/>
      <c r="H23" s="2"/>
      <c r="I23" s="2"/>
      <c r="J23" s="2"/>
      <c r="K23" s="2"/>
      <c r="L23" s="2"/>
      <c r="M23" s="2"/>
      <c r="N23" s="8">
        <f>100-(75.48-57.27)/57.27*50</f>
        <v>84.10162388685175</v>
      </c>
      <c r="O23" s="2"/>
      <c r="P23" s="2"/>
      <c r="Q23" s="57"/>
      <c r="R23" s="67">
        <f t="shared" si="0"/>
        <v>84.10162388685175</v>
      </c>
    </row>
    <row r="24" spans="1:18" ht="14.25">
      <c r="A24" s="99" t="s">
        <v>238</v>
      </c>
      <c r="B24" s="82" t="s">
        <v>103</v>
      </c>
      <c r="C24" s="83" t="s">
        <v>84</v>
      </c>
      <c r="D24" s="35"/>
      <c r="E24" s="2"/>
      <c r="F24" s="3"/>
      <c r="G24" s="2"/>
      <c r="H24" s="2"/>
      <c r="I24" s="2"/>
      <c r="J24" s="2"/>
      <c r="K24" s="2"/>
      <c r="L24" s="8">
        <f>100-(39.05-28.83)/28.83*50</f>
        <v>82.27540756156782</v>
      </c>
      <c r="M24" s="2"/>
      <c r="N24" s="2"/>
      <c r="O24" s="2"/>
      <c r="P24" s="2"/>
      <c r="Q24" s="57"/>
      <c r="R24" s="67">
        <f t="shared" si="0"/>
        <v>82.27540756156782</v>
      </c>
    </row>
    <row r="25" spans="1:18" ht="14.25">
      <c r="A25" s="99" t="s">
        <v>239</v>
      </c>
      <c r="B25" s="82" t="s">
        <v>160</v>
      </c>
      <c r="C25" s="83" t="s">
        <v>154</v>
      </c>
      <c r="D25" s="35"/>
      <c r="E25" s="2"/>
      <c r="F25" s="3"/>
      <c r="G25" s="2"/>
      <c r="H25" s="2"/>
      <c r="I25" s="2"/>
      <c r="J25" s="2"/>
      <c r="K25" s="2"/>
      <c r="L25" s="8"/>
      <c r="M25" s="2"/>
      <c r="N25" s="2"/>
      <c r="O25" s="2"/>
      <c r="P25" s="11" t="s">
        <v>60</v>
      </c>
      <c r="Q25" s="56">
        <f>100-(80.27-43.4)/43.4*50</f>
        <v>57.52304147465438</v>
      </c>
      <c r="R25" s="67">
        <f t="shared" si="0"/>
        <v>57.52304147465438</v>
      </c>
    </row>
    <row r="26" spans="1:18" ht="14.25">
      <c r="A26" s="99" t="s">
        <v>240</v>
      </c>
      <c r="B26" s="82" t="s">
        <v>210</v>
      </c>
      <c r="C26" s="83" t="s">
        <v>192</v>
      </c>
      <c r="D26" s="35"/>
      <c r="E26" s="2"/>
      <c r="F26" s="3"/>
      <c r="G26" s="2"/>
      <c r="H26" s="2"/>
      <c r="I26" s="2"/>
      <c r="J26" s="2"/>
      <c r="K26" s="2"/>
      <c r="L26" s="8"/>
      <c r="M26" s="2"/>
      <c r="N26" s="2"/>
      <c r="O26" s="2"/>
      <c r="P26" s="11"/>
      <c r="Q26" s="56">
        <f>100-(80.45-43.4)/43.4*50</f>
        <v>57.31566820276497</v>
      </c>
      <c r="R26" s="67">
        <f t="shared" si="0"/>
        <v>57.31566820276497</v>
      </c>
    </row>
    <row r="27" spans="1:18" ht="15" thickBot="1">
      <c r="A27" s="100" t="s">
        <v>241</v>
      </c>
      <c r="B27" s="84" t="s">
        <v>159</v>
      </c>
      <c r="C27" s="85" t="s">
        <v>154</v>
      </c>
      <c r="D27" s="70"/>
      <c r="E27" s="40"/>
      <c r="F27" s="59"/>
      <c r="G27" s="40"/>
      <c r="H27" s="40"/>
      <c r="I27" s="40"/>
      <c r="J27" s="40"/>
      <c r="K27" s="40"/>
      <c r="L27" s="41"/>
      <c r="M27" s="40"/>
      <c r="N27" s="40"/>
      <c r="O27" s="40"/>
      <c r="P27" s="41">
        <f>100-(76.68-36.5)/36.5*50</f>
        <v>44.95890410958903</v>
      </c>
      <c r="Q27" s="87">
        <f>100-(128.18-43.4)/43.4*50</f>
        <v>2.3271889400921566</v>
      </c>
      <c r="R27" s="68">
        <f t="shared" si="0"/>
        <v>47.286093049681185</v>
      </c>
    </row>
    <row r="28" spans="1:18" ht="14.25">
      <c r="A28" s="18"/>
      <c r="B28" s="18"/>
      <c r="C28" s="18"/>
      <c r="D28" s="18"/>
      <c r="E28" s="18"/>
      <c r="F28" s="23"/>
      <c r="G28" s="18"/>
      <c r="H28" s="18"/>
      <c r="I28" s="18"/>
      <c r="J28" s="18"/>
      <c r="K28" s="18"/>
      <c r="L28" s="19"/>
      <c r="M28" s="18"/>
      <c r="N28" s="18"/>
      <c r="O28" s="18"/>
      <c r="P28" s="19"/>
      <c r="Q28" s="19"/>
      <c r="R28" s="22"/>
    </row>
    <row r="29" spans="1:18" ht="14.25">
      <c r="A29" s="18"/>
      <c r="B29" s="18"/>
      <c r="C29" s="18"/>
      <c r="D29" s="18"/>
      <c r="E29" s="18"/>
      <c r="F29" s="23"/>
      <c r="G29" s="18"/>
      <c r="H29" s="18"/>
      <c r="I29" s="18"/>
      <c r="J29" s="18"/>
      <c r="K29" s="18"/>
      <c r="L29" s="18"/>
      <c r="M29" s="18"/>
      <c r="N29" s="19"/>
      <c r="O29" s="18"/>
      <c r="P29" s="18"/>
      <c r="Q29" s="18"/>
      <c r="R29" s="22"/>
    </row>
    <row r="30" spans="1:18" ht="14.25">
      <c r="A30" s="2"/>
      <c r="B30" s="2" t="s">
        <v>119</v>
      </c>
      <c r="C30" s="2" t="s">
        <v>6</v>
      </c>
      <c r="D30" s="2"/>
      <c r="E30" s="2"/>
      <c r="F30" s="3"/>
      <c r="G30" s="2"/>
      <c r="H30" s="2"/>
      <c r="I30" s="2"/>
      <c r="J30" s="2"/>
      <c r="K30" s="2"/>
      <c r="L30" s="2"/>
      <c r="M30" s="8">
        <f>100-(119.62-119.62)/119.62*50</f>
        <v>100</v>
      </c>
      <c r="N30" s="8">
        <f>100-(50.78-50.78)/50.78*50</f>
        <v>100</v>
      </c>
      <c r="O30" s="8">
        <f>100-(60.45-60.45)/60.45*50</f>
        <v>100</v>
      </c>
      <c r="P30" s="2"/>
      <c r="Q30" s="2"/>
      <c r="R30" s="14">
        <f>SUM(D30:Q30)</f>
        <v>300</v>
      </c>
    </row>
    <row r="31" spans="1:18" ht="14.25">
      <c r="A31" s="2"/>
      <c r="B31" s="2" t="s">
        <v>123</v>
      </c>
      <c r="C31" s="2" t="s">
        <v>61</v>
      </c>
      <c r="D31" s="2"/>
      <c r="E31" s="2"/>
      <c r="F31" s="3"/>
      <c r="G31" s="2"/>
      <c r="H31" s="2"/>
      <c r="I31" s="2"/>
      <c r="J31" s="2"/>
      <c r="K31" s="2"/>
      <c r="L31" s="2"/>
      <c r="M31" s="8">
        <f>100-(155.48-125.28)/125.28*50</f>
        <v>87.9469987228608</v>
      </c>
      <c r="N31" s="2"/>
      <c r="O31" s="2"/>
      <c r="P31" s="2"/>
      <c r="Q31" s="2"/>
      <c r="R31" s="14">
        <f>SUM(D31:Q31)</f>
        <v>87.9469987228608</v>
      </c>
    </row>
    <row r="32" spans="1:18" ht="14.25">
      <c r="A32" s="2"/>
      <c r="B32" s="2" t="s">
        <v>141</v>
      </c>
      <c r="C32" s="2" t="s">
        <v>61</v>
      </c>
      <c r="D32" s="2"/>
      <c r="E32" s="2"/>
      <c r="F32" s="3"/>
      <c r="G32" s="2"/>
      <c r="H32" s="2"/>
      <c r="I32" s="2"/>
      <c r="J32" s="2"/>
      <c r="K32" s="2"/>
      <c r="L32" s="2"/>
      <c r="M32" s="2"/>
      <c r="N32" s="8">
        <f>100-(108.42-57.27)/57.27*50</f>
        <v>55.343111576741755</v>
      </c>
      <c r="O32" s="2"/>
      <c r="P32" s="2"/>
      <c r="Q32" s="2"/>
      <c r="R32" s="14">
        <f>SUM(D32:Q32)</f>
        <v>55.343111576741755</v>
      </c>
    </row>
    <row r="33" spans="6:14" s="18" customFormat="1" ht="14.25">
      <c r="F33" s="23"/>
      <c r="N33" s="19"/>
    </row>
    <row r="34" s="32" customFormat="1" ht="14.25">
      <c r="A34" s="32" t="s">
        <v>212</v>
      </c>
    </row>
    <row r="35" s="33" customFormat="1" ht="14.25">
      <c r="A35" s="33" t="s">
        <v>124</v>
      </c>
    </row>
    <row r="36" s="32" customFormat="1" ht="14.25">
      <c r="A36" s="32" t="s">
        <v>214</v>
      </c>
    </row>
  </sheetData>
  <sheetProtection/>
  <autoFilter ref="B2:R2">
    <sortState ref="B3:R36">
      <sortCondition descending="1" sortBy="value" ref="Q3:Q36"/>
    </sortState>
  </autoFilter>
  <mergeCells count="1">
    <mergeCell ref="A1:R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vajda péter</dc:creator>
  <cp:keywords/>
  <dc:description/>
  <cp:lastModifiedBy>Tamás Tibor</cp:lastModifiedBy>
  <cp:lastPrinted>2013-09-16T13:15:53Z</cp:lastPrinted>
  <dcterms:created xsi:type="dcterms:W3CDTF">2011-04-21T09:51:37Z</dcterms:created>
  <dcterms:modified xsi:type="dcterms:W3CDTF">2013-09-16T14:26:50Z</dcterms:modified>
  <cp:category/>
  <cp:version/>
  <cp:contentType/>
  <cp:contentStatus/>
</cp:coreProperties>
</file>